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TELA\Desktop\"/>
    </mc:Choice>
  </mc:AlternateContent>
  <bookViews>
    <workbookView xWindow="0" yWindow="0" windowWidth="28800" windowHeight="11775"/>
  </bookViews>
  <sheets>
    <sheet name="BID 21-22" sheetId="1" r:id="rId1"/>
  </sheets>
  <definedNames>
    <definedName name="_xlnm.Print_Area" localSheetId="0">'BID 21-22'!$A$1:$M$771</definedName>
    <definedName name="Z_0C3C3871_9587_4907_8647_6ABAD5CAAEFD_.wvu.PrintArea" localSheetId="0">'BID 21-22'!$A$2:$M$768</definedName>
  </definedNames>
  <calcPr calcId="162913"/>
</workbook>
</file>

<file path=xl/calcChain.xml><?xml version="1.0" encoding="utf-8"?>
<calcChain xmlns="http://schemas.openxmlformats.org/spreadsheetml/2006/main">
  <c r="N761" i="1" l="1"/>
  <c r="H761" i="1"/>
  <c r="F760" i="1"/>
  <c r="F759" i="1"/>
  <c r="F758" i="1"/>
  <c r="F757" i="1"/>
  <c r="F756" i="1"/>
  <c r="F755" i="1"/>
  <c r="F754" i="1"/>
  <c r="O748" i="1"/>
  <c r="M748" i="1"/>
  <c r="L748" i="1"/>
  <c r="J748" i="1"/>
  <c r="J746" i="1"/>
  <c r="O745" i="1"/>
  <c r="M745" i="1"/>
  <c r="L745" i="1"/>
  <c r="J745" i="1"/>
  <c r="O743" i="1"/>
  <c r="M743" i="1"/>
  <c r="L743" i="1"/>
  <c r="J743" i="1"/>
  <c r="J742" i="1"/>
  <c r="O741" i="1"/>
  <c r="O749" i="1" s="1"/>
  <c r="M741" i="1"/>
  <c r="L741" i="1"/>
  <c r="J741" i="1"/>
  <c r="O738" i="1"/>
  <c r="M738" i="1"/>
  <c r="L738" i="1"/>
  <c r="J738" i="1"/>
  <c r="O737" i="1"/>
  <c r="M737" i="1"/>
  <c r="L737" i="1"/>
  <c r="J737" i="1"/>
  <c r="J736" i="1"/>
  <c r="O735" i="1"/>
  <c r="L735" i="1"/>
  <c r="M735" i="1" s="1"/>
  <c r="J735" i="1"/>
  <c r="J734" i="1"/>
  <c r="O733" i="1"/>
  <c r="M733" i="1"/>
  <c r="L733" i="1"/>
  <c r="J733" i="1"/>
  <c r="J732" i="1"/>
  <c r="O731" i="1"/>
  <c r="M731" i="1"/>
  <c r="L731" i="1"/>
  <c r="J731" i="1"/>
  <c r="J730" i="1"/>
  <c r="O729" i="1"/>
  <c r="M729" i="1"/>
  <c r="L729" i="1"/>
  <c r="J729" i="1"/>
  <c r="J728" i="1"/>
  <c r="O727" i="1"/>
  <c r="M727" i="1"/>
  <c r="L727" i="1"/>
  <c r="J727" i="1"/>
  <c r="J726" i="1"/>
  <c r="O725" i="1"/>
  <c r="M725" i="1"/>
  <c r="L725" i="1"/>
  <c r="J725" i="1"/>
  <c r="O724" i="1"/>
  <c r="M724" i="1"/>
  <c r="L724" i="1"/>
  <c r="J724" i="1"/>
  <c r="O723" i="1"/>
  <c r="M723" i="1"/>
  <c r="L723" i="1"/>
  <c r="J723" i="1"/>
  <c r="O722" i="1"/>
  <c r="M722" i="1"/>
  <c r="L722" i="1"/>
  <c r="J722" i="1"/>
  <c r="M721" i="1"/>
  <c r="L721" i="1"/>
  <c r="J721" i="1"/>
  <c r="O720" i="1"/>
  <c r="M720" i="1"/>
  <c r="L720" i="1"/>
  <c r="J720" i="1"/>
  <c r="O719" i="1"/>
  <c r="M719" i="1"/>
  <c r="L719" i="1"/>
  <c r="J719" i="1"/>
  <c r="O718" i="1"/>
  <c r="M718" i="1"/>
  <c r="L718" i="1"/>
  <c r="J718" i="1"/>
  <c r="O717" i="1"/>
  <c r="M717" i="1"/>
  <c r="L717" i="1"/>
  <c r="J717" i="1"/>
  <c r="O716" i="1"/>
  <c r="M716" i="1"/>
  <c r="L716" i="1"/>
  <c r="J716" i="1"/>
  <c r="J715" i="1"/>
  <c r="L714" i="1"/>
  <c r="J714" i="1"/>
  <c r="L713" i="1"/>
  <c r="O712" i="1"/>
  <c r="M712" i="1"/>
  <c r="L712" i="1"/>
  <c r="J712" i="1"/>
  <c r="L711" i="1"/>
  <c r="O710" i="1"/>
  <c r="M710" i="1"/>
  <c r="L710" i="1"/>
  <c r="J710" i="1"/>
  <c r="L709" i="1"/>
  <c r="O708" i="1"/>
  <c r="M708" i="1"/>
  <c r="L708" i="1"/>
  <c r="J708" i="1"/>
  <c r="L707" i="1"/>
  <c r="L706" i="1"/>
  <c r="L704" i="1"/>
  <c r="J704" i="1"/>
  <c r="O703" i="1"/>
  <c r="M703" i="1"/>
  <c r="L703" i="1"/>
  <c r="J703" i="1"/>
  <c r="O702" i="1"/>
  <c r="M702" i="1"/>
  <c r="L702" i="1"/>
  <c r="J702" i="1"/>
  <c r="O701" i="1"/>
  <c r="M701" i="1"/>
  <c r="L701" i="1"/>
  <c r="J701" i="1"/>
  <c r="O700" i="1"/>
  <c r="M700" i="1"/>
  <c r="L700" i="1"/>
  <c r="J700" i="1"/>
  <c r="J699" i="1"/>
  <c r="O698" i="1"/>
  <c r="M698" i="1"/>
  <c r="L698" i="1"/>
  <c r="J698" i="1"/>
  <c r="J697" i="1"/>
  <c r="O696" i="1"/>
  <c r="M696" i="1"/>
  <c r="L696" i="1"/>
  <c r="J696" i="1"/>
  <c r="J695" i="1"/>
  <c r="O694" i="1"/>
  <c r="M694" i="1"/>
  <c r="L694" i="1"/>
  <c r="J694" i="1"/>
  <c r="O691" i="1"/>
  <c r="M691" i="1"/>
  <c r="L691" i="1"/>
  <c r="J691" i="1"/>
  <c r="M690" i="1"/>
  <c r="L690" i="1"/>
  <c r="J690" i="1"/>
  <c r="M689" i="1"/>
  <c r="L689" i="1"/>
  <c r="J689" i="1"/>
  <c r="M688" i="1"/>
  <c r="L688" i="1"/>
  <c r="J688" i="1"/>
  <c r="J687" i="1"/>
  <c r="O686" i="1"/>
  <c r="M686" i="1"/>
  <c r="L686" i="1"/>
  <c r="J686" i="1"/>
  <c r="J685" i="1"/>
  <c r="O684" i="1"/>
  <c r="M684" i="1"/>
  <c r="L684" i="1"/>
  <c r="J684" i="1"/>
  <c r="J683" i="1"/>
  <c r="O682" i="1"/>
  <c r="M682" i="1"/>
  <c r="L682" i="1"/>
  <c r="J682" i="1"/>
  <c r="J681" i="1"/>
  <c r="O680" i="1"/>
  <c r="M680" i="1"/>
  <c r="L680" i="1"/>
  <c r="J680" i="1"/>
  <c r="O679" i="1"/>
  <c r="M679" i="1"/>
  <c r="L679" i="1"/>
  <c r="J679" i="1"/>
  <c r="O678" i="1"/>
  <c r="M678" i="1"/>
  <c r="L678" i="1"/>
  <c r="J678" i="1"/>
  <c r="O677" i="1"/>
  <c r="M677" i="1"/>
  <c r="L677" i="1"/>
  <c r="J677" i="1"/>
  <c r="O676" i="1"/>
  <c r="M676" i="1"/>
  <c r="L676" i="1"/>
  <c r="J676" i="1"/>
  <c r="J675" i="1"/>
  <c r="O674" i="1"/>
  <c r="M674" i="1"/>
  <c r="L674" i="1"/>
  <c r="J674" i="1"/>
  <c r="J673" i="1"/>
  <c r="O672" i="1"/>
  <c r="M672" i="1"/>
  <c r="L672" i="1"/>
  <c r="J672" i="1"/>
  <c r="J671" i="1"/>
  <c r="O670" i="1"/>
  <c r="M670" i="1"/>
  <c r="L670" i="1"/>
  <c r="J670" i="1"/>
  <c r="J669" i="1"/>
  <c r="O668" i="1"/>
  <c r="M668" i="1"/>
  <c r="L668" i="1"/>
  <c r="J668" i="1"/>
  <c r="J667" i="1"/>
  <c r="O666" i="1"/>
  <c r="M666" i="1"/>
  <c r="L666" i="1"/>
  <c r="J666" i="1"/>
  <c r="J665" i="1"/>
  <c r="O664" i="1"/>
  <c r="M664" i="1"/>
  <c r="L664" i="1"/>
  <c r="J664" i="1"/>
  <c r="J663" i="1"/>
  <c r="O662" i="1"/>
  <c r="M662" i="1"/>
  <c r="L662" i="1"/>
  <c r="J662" i="1"/>
  <c r="O661" i="1"/>
  <c r="M661" i="1"/>
  <c r="L661" i="1"/>
  <c r="J661" i="1"/>
  <c r="J660" i="1"/>
  <c r="O659" i="1"/>
  <c r="M659" i="1"/>
  <c r="L659" i="1"/>
  <c r="J659" i="1"/>
  <c r="J658" i="1"/>
  <c r="O657" i="1"/>
  <c r="M657" i="1"/>
  <c r="L657" i="1"/>
  <c r="J657" i="1"/>
  <c r="J656" i="1"/>
  <c r="O655" i="1"/>
  <c r="M655" i="1"/>
  <c r="L655" i="1"/>
  <c r="J655" i="1"/>
  <c r="J654" i="1"/>
  <c r="O653" i="1"/>
  <c r="M653" i="1"/>
  <c r="L653" i="1"/>
  <c r="J653" i="1"/>
  <c r="J652" i="1"/>
  <c r="O651" i="1"/>
  <c r="M651" i="1"/>
  <c r="L651" i="1"/>
  <c r="J651" i="1"/>
  <c r="J650" i="1"/>
  <c r="O649" i="1"/>
  <c r="M649" i="1"/>
  <c r="L649" i="1"/>
  <c r="J649" i="1"/>
  <c r="J648" i="1"/>
  <c r="O647" i="1"/>
  <c r="M647" i="1"/>
  <c r="L647" i="1"/>
  <c r="J647" i="1"/>
  <c r="J646" i="1"/>
  <c r="L645" i="1"/>
  <c r="J645" i="1"/>
  <c r="J644" i="1"/>
  <c r="O643" i="1"/>
  <c r="M643" i="1"/>
  <c r="L643" i="1"/>
  <c r="J643" i="1"/>
  <c r="J642" i="1"/>
  <c r="L641" i="1"/>
  <c r="J641" i="1"/>
  <c r="M640" i="1"/>
  <c r="L640" i="1"/>
  <c r="J640" i="1"/>
  <c r="J639" i="1"/>
  <c r="O638" i="1"/>
  <c r="L638" i="1"/>
  <c r="J638" i="1"/>
  <c r="O637" i="1"/>
  <c r="M637" i="1"/>
  <c r="L637" i="1"/>
  <c r="J637" i="1"/>
  <c r="O636" i="1"/>
  <c r="M636" i="1"/>
  <c r="L636" i="1"/>
  <c r="J636" i="1"/>
  <c r="O635" i="1"/>
  <c r="M635" i="1"/>
  <c r="L635" i="1"/>
  <c r="J635" i="1"/>
  <c r="O634" i="1"/>
  <c r="M634" i="1"/>
  <c r="L634" i="1"/>
  <c r="J634" i="1"/>
  <c r="O633" i="1"/>
  <c r="M633" i="1"/>
  <c r="L633" i="1"/>
  <c r="J633" i="1"/>
  <c r="O632" i="1"/>
  <c r="M632" i="1"/>
  <c r="L632" i="1"/>
  <c r="J632" i="1"/>
  <c r="J631" i="1"/>
  <c r="O630" i="1"/>
  <c r="M630" i="1"/>
  <c r="L630" i="1"/>
  <c r="J630" i="1"/>
  <c r="O629" i="1"/>
  <c r="M629" i="1"/>
  <c r="L629" i="1"/>
  <c r="J629" i="1"/>
  <c r="O628" i="1"/>
  <c r="M628" i="1"/>
  <c r="L628" i="1"/>
  <c r="J628" i="1"/>
  <c r="O627" i="1"/>
  <c r="M627" i="1"/>
  <c r="L627" i="1"/>
  <c r="J627" i="1"/>
  <c r="O626" i="1"/>
  <c r="M626" i="1"/>
  <c r="L626" i="1"/>
  <c r="J626" i="1"/>
  <c r="J625" i="1"/>
  <c r="O624" i="1"/>
  <c r="M624" i="1"/>
  <c r="L624" i="1"/>
  <c r="J624" i="1"/>
  <c r="J623" i="1"/>
  <c r="O622" i="1"/>
  <c r="M622" i="1"/>
  <c r="L622" i="1"/>
  <c r="J622" i="1"/>
  <c r="M621" i="1"/>
  <c r="J621" i="1"/>
  <c r="M620" i="1"/>
  <c r="J620" i="1"/>
  <c r="M619" i="1"/>
  <c r="J619" i="1"/>
  <c r="M618" i="1"/>
  <c r="J618" i="1"/>
  <c r="O617" i="1"/>
  <c r="M617" i="1"/>
  <c r="L617" i="1"/>
  <c r="J617" i="1"/>
  <c r="O616" i="1"/>
  <c r="M616" i="1"/>
  <c r="L616" i="1"/>
  <c r="J616" i="1"/>
  <c r="J615" i="1"/>
  <c r="O614" i="1"/>
  <c r="M614" i="1"/>
  <c r="L614" i="1"/>
  <c r="J614" i="1"/>
  <c r="O613" i="1"/>
  <c r="M613" i="1"/>
  <c r="L613" i="1"/>
  <c r="J613" i="1"/>
  <c r="O612" i="1"/>
  <c r="M612" i="1"/>
  <c r="L612" i="1"/>
  <c r="J612" i="1"/>
  <c r="M611" i="1"/>
  <c r="L611" i="1"/>
  <c r="J611" i="1"/>
  <c r="M610" i="1"/>
  <c r="L610" i="1"/>
  <c r="J610" i="1"/>
  <c r="O609" i="1"/>
  <c r="M609" i="1"/>
  <c r="L609" i="1"/>
  <c r="J609" i="1"/>
  <c r="O608" i="1"/>
  <c r="M608" i="1"/>
  <c r="L608" i="1"/>
  <c r="J608" i="1"/>
  <c r="O607" i="1"/>
  <c r="L607" i="1"/>
  <c r="M607" i="1" s="1"/>
  <c r="J607" i="1"/>
  <c r="O606" i="1"/>
  <c r="L606" i="1"/>
  <c r="M606" i="1" s="1"/>
  <c r="J606" i="1"/>
  <c r="O605" i="1"/>
  <c r="M605" i="1"/>
  <c r="L605" i="1"/>
  <c r="J605" i="1"/>
  <c r="M604" i="1"/>
  <c r="L604" i="1"/>
  <c r="J603" i="1"/>
  <c r="O602" i="1"/>
  <c r="M602" i="1"/>
  <c r="L602" i="1"/>
  <c r="J602" i="1"/>
  <c r="O601" i="1"/>
  <c r="M601" i="1"/>
  <c r="L601" i="1"/>
  <c r="J601" i="1"/>
  <c r="J600" i="1"/>
  <c r="O599" i="1"/>
  <c r="M599" i="1"/>
  <c r="L599" i="1"/>
  <c r="J599" i="1"/>
  <c r="J598" i="1"/>
  <c r="O597" i="1"/>
  <c r="M597" i="1"/>
  <c r="L597" i="1"/>
  <c r="J597" i="1"/>
  <c r="O596" i="1"/>
  <c r="M596" i="1"/>
  <c r="L596" i="1"/>
  <c r="J596" i="1"/>
  <c r="J595" i="1"/>
  <c r="O594" i="1"/>
  <c r="M594" i="1"/>
  <c r="L594" i="1"/>
  <c r="J594" i="1"/>
  <c r="J593" i="1"/>
  <c r="O592" i="1"/>
  <c r="M592" i="1"/>
  <c r="L592" i="1"/>
  <c r="J592" i="1"/>
  <c r="J591" i="1"/>
  <c r="O590" i="1"/>
  <c r="M590" i="1"/>
  <c r="L590" i="1"/>
  <c r="J590" i="1"/>
  <c r="O589" i="1"/>
  <c r="M589" i="1"/>
  <c r="L589" i="1"/>
  <c r="J589" i="1"/>
  <c r="J588" i="1"/>
  <c r="O587" i="1"/>
  <c r="M587" i="1"/>
  <c r="L587" i="1"/>
  <c r="J587" i="1"/>
  <c r="O586" i="1"/>
  <c r="M586" i="1"/>
  <c r="L586" i="1"/>
  <c r="J586" i="1"/>
  <c r="O585" i="1"/>
  <c r="M585" i="1"/>
  <c r="L585" i="1"/>
  <c r="J585" i="1"/>
  <c r="O584" i="1"/>
  <c r="M584" i="1"/>
  <c r="L584" i="1"/>
  <c r="J584" i="1"/>
  <c r="O583" i="1"/>
  <c r="M583" i="1"/>
  <c r="L583" i="1"/>
  <c r="J583" i="1"/>
  <c r="O582" i="1"/>
  <c r="M582" i="1"/>
  <c r="L582" i="1"/>
  <c r="J582" i="1"/>
  <c r="O581" i="1"/>
  <c r="M581" i="1"/>
  <c r="L581" i="1"/>
  <c r="J581" i="1"/>
  <c r="M580" i="1"/>
  <c r="L580" i="1"/>
  <c r="J580" i="1"/>
  <c r="O579" i="1"/>
  <c r="M579" i="1"/>
  <c r="L579" i="1"/>
  <c r="J579" i="1"/>
  <c r="O578" i="1"/>
  <c r="M578" i="1"/>
  <c r="L578" i="1"/>
  <c r="J578" i="1"/>
  <c r="O577" i="1"/>
  <c r="M577" i="1"/>
  <c r="L577" i="1"/>
  <c r="J577" i="1"/>
  <c r="J576" i="1"/>
  <c r="O575" i="1"/>
  <c r="M575" i="1"/>
  <c r="L575" i="1"/>
  <c r="J575" i="1"/>
  <c r="J574" i="1"/>
  <c r="O573" i="1"/>
  <c r="M573" i="1"/>
  <c r="L573" i="1"/>
  <c r="J573" i="1"/>
  <c r="J572" i="1"/>
  <c r="O571" i="1"/>
  <c r="M571" i="1"/>
  <c r="J571" i="1"/>
  <c r="O570" i="1"/>
  <c r="M570" i="1"/>
  <c r="L570" i="1"/>
  <c r="J570" i="1"/>
  <c r="O568" i="1"/>
  <c r="M568" i="1"/>
  <c r="L568" i="1"/>
  <c r="J568" i="1"/>
  <c r="O567" i="1"/>
  <c r="M567" i="1"/>
  <c r="L567" i="1"/>
  <c r="J567" i="1"/>
  <c r="M566" i="1"/>
  <c r="L566" i="1"/>
  <c r="M565" i="1"/>
  <c r="L565" i="1"/>
  <c r="O561" i="1"/>
  <c r="M561" i="1"/>
  <c r="L561" i="1"/>
  <c r="J561" i="1"/>
  <c r="O560" i="1"/>
  <c r="M560" i="1"/>
  <c r="L560" i="1"/>
  <c r="J560" i="1"/>
  <c r="O559" i="1"/>
  <c r="M559" i="1"/>
  <c r="L559" i="1"/>
  <c r="J559" i="1"/>
  <c r="O558" i="1"/>
  <c r="M558" i="1"/>
  <c r="L558" i="1"/>
  <c r="J558" i="1"/>
  <c r="O556" i="1"/>
  <c r="M556" i="1"/>
  <c r="L556" i="1"/>
  <c r="J556" i="1"/>
  <c r="O555" i="1"/>
  <c r="M555" i="1"/>
  <c r="L555" i="1"/>
  <c r="J555" i="1"/>
  <c r="O554" i="1"/>
  <c r="M554" i="1"/>
  <c r="L554" i="1"/>
  <c r="J554" i="1"/>
  <c r="J553" i="1"/>
  <c r="O552" i="1"/>
  <c r="M552" i="1"/>
  <c r="L552" i="1"/>
  <c r="J552" i="1"/>
  <c r="J551" i="1"/>
  <c r="O550" i="1"/>
  <c r="M550" i="1"/>
  <c r="L550" i="1"/>
  <c r="J550" i="1"/>
  <c r="O549" i="1"/>
  <c r="M549" i="1"/>
  <c r="L549" i="1"/>
  <c r="J549" i="1"/>
  <c r="O548" i="1"/>
  <c r="M548" i="1"/>
  <c r="L548" i="1"/>
  <c r="J548" i="1"/>
  <c r="O547" i="1"/>
  <c r="M547" i="1"/>
  <c r="L547" i="1"/>
  <c r="J547" i="1"/>
  <c r="J546" i="1"/>
  <c r="O545" i="1"/>
  <c r="M545" i="1"/>
  <c r="L545" i="1"/>
  <c r="J545" i="1"/>
  <c r="J544" i="1"/>
  <c r="O543" i="1"/>
  <c r="M543" i="1"/>
  <c r="L543" i="1"/>
  <c r="J543" i="1"/>
  <c r="J542" i="1"/>
  <c r="O541" i="1"/>
  <c r="M541" i="1"/>
  <c r="L541" i="1"/>
  <c r="J541" i="1"/>
  <c r="O540" i="1"/>
  <c r="M540" i="1"/>
  <c r="L540" i="1"/>
  <c r="J540" i="1"/>
  <c r="J539" i="1"/>
  <c r="O538" i="1"/>
  <c r="M538" i="1"/>
  <c r="L538" i="1"/>
  <c r="J538" i="1"/>
  <c r="J537" i="1"/>
  <c r="O536" i="1"/>
  <c r="M536" i="1"/>
  <c r="L536" i="1"/>
  <c r="J536" i="1"/>
  <c r="J535" i="1"/>
  <c r="O534" i="1"/>
  <c r="M534" i="1"/>
  <c r="L534" i="1"/>
  <c r="J534" i="1"/>
  <c r="J533" i="1"/>
  <c r="O532" i="1"/>
  <c r="M532" i="1"/>
  <c r="L532" i="1"/>
  <c r="J532" i="1"/>
  <c r="O531" i="1"/>
  <c r="M531" i="1"/>
  <c r="L531" i="1"/>
  <c r="J531" i="1"/>
  <c r="O530" i="1"/>
  <c r="M530" i="1"/>
  <c r="J530" i="1"/>
  <c r="O529" i="1"/>
  <c r="M529" i="1"/>
  <c r="L529" i="1"/>
  <c r="J529" i="1"/>
  <c r="O528" i="1"/>
  <c r="M528" i="1"/>
  <c r="L528" i="1"/>
  <c r="J528" i="1"/>
  <c r="O527" i="1"/>
  <c r="M527" i="1"/>
  <c r="L527" i="1"/>
  <c r="J527" i="1"/>
  <c r="J524" i="1"/>
  <c r="O523" i="1"/>
  <c r="M523" i="1"/>
  <c r="L523" i="1"/>
  <c r="J523" i="1"/>
  <c r="J522" i="1"/>
  <c r="O521" i="1"/>
  <c r="L521" i="1"/>
  <c r="J521" i="1"/>
  <c r="J520" i="1"/>
  <c r="O519" i="1"/>
  <c r="L519" i="1"/>
  <c r="M519" i="1" s="1"/>
  <c r="J519" i="1"/>
  <c r="J518" i="1"/>
  <c r="O517" i="1"/>
  <c r="L517" i="1"/>
  <c r="M517" i="1" s="1"/>
  <c r="J517" i="1"/>
  <c r="O516" i="1"/>
  <c r="L516" i="1"/>
  <c r="M516" i="1" s="1"/>
  <c r="J516" i="1"/>
  <c r="O515" i="1"/>
  <c r="M515" i="1"/>
  <c r="L515" i="1"/>
  <c r="J515" i="1"/>
  <c r="O514" i="1"/>
  <c r="M514" i="1"/>
  <c r="L514" i="1"/>
  <c r="J514" i="1"/>
  <c r="O513" i="1"/>
  <c r="M513" i="1"/>
  <c r="L513" i="1"/>
  <c r="J513" i="1"/>
  <c r="O512" i="1"/>
  <c r="M512" i="1"/>
  <c r="L512" i="1"/>
  <c r="J512" i="1"/>
  <c r="O511" i="1"/>
  <c r="M511" i="1"/>
  <c r="L511" i="1"/>
  <c r="J511" i="1"/>
  <c r="O510" i="1"/>
  <c r="M510" i="1"/>
  <c r="L510" i="1"/>
  <c r="J510" i="1"/>
  <c r="P509" i="1"/>
  <c r="L509" i="1"/>
  <c r="O508" i="1"/>
  <c r="M508" i="1"/>
  <c r="L508" i="1"/>
  <c r="J508" i="1"/>
  <c r="J505" i="1"/>
  <c r="J504" i="1"/>
  <c r="O503" i="1"/>
  <c r="M503" i="1"/>
  <c r="L503" i="1"/>
  <c r="J503" i="1"/>
  <c r="P502" i="1"/>
  <c r="L502" i="1"/>
  <c r="O501" i="1"/>
  <c r="M501" i="1"/>
  <c r="L501" i="1"/>
  <c r="J501" i="1"/>
  <c r="P500" i="1"/>
  <c r="L500" i="1"/>
  <c r="O499" i="1"/>
  <c r="M499" i="1"/>
  <c r="L499" i="1"/>
  <c r="J499" i="1"/>
  <c r="P498" i="1"/>
  <c r="L498" i="1"/>
  <c r="O497" i="1"/>
  <c r="M497" i="1"/>
  <c r="L497" i="1"/>
  <c r="J497" i="1"/>
  <c r="J496" i="1"/>
  <c r="O495" i="1"/>
  <c r="M495" i="1"/>
  <c r="L495" i="1"/>
  <c r="J495" i="1"/>
  <c r="J494" i="1"/>
  <c r="O493" i="1"/>
  <c r="M493" i="1"/>
  <c r="L493" i="1"/>
  <c r="J493" i="1"/>
  <c r="J492" i="1"/>
  <c r="P491" i="1"/>
  <c r="L491" i="1"/>
  <c r="O490" i="1"/>
  <c r="M490" i="1"/>
  <c r="L490" i="1"/>
  <c r="J490" i="1"/>
  <c r="J489" i="1"/>
  <c r="O488" i="1"/>
  <c r="M488" i="1"/>
  <c r="L488" i="1"/>
  <c r="J488" i="1"/>
  <c r="M486" i="1"/>
  <c r="L486" i="1"/>
  <c r="M484" i="1"/>
  <c r="L484" i="1"/>
  <c r="J483" i="1"/>
  <c r="P482" i="1"/>
  <c r="L482" i="1"/>
  <c r="J482" i="1"/>
  <c r="O481" i="1"/>
  <c r="M481" i="1"/>
  <c r="L481" i="1"/>
  <c r="J481" i="1"/>
  <c r="J480" i="1"/>
  <c r="P479" i="1"/>
  <c r="O478" i="1"/>
  <c r="L478" i="1"/>
  <c r="L479" i="1" s="1"/>
  <c r="J478" i="1"/>
  <c r="J477" i="1"/>
  <c r="O476" i="1"/>
  <c r="M476" i="1"/>
  <c r="L476" i="1"/>
  <c r="J476" i="1"/>
  <c r="J475" i="1"/>
  <c r="O474" i="1"/>
  <c r="M474" i="1"/>
  <c r="L474" i="1"/>
  <c r="J474" i="1"/>
  <c r="J473" i="1"/>
  <c r="O472" i="1"/>
  <c r="M472" i="1"/>
  <c r="L472" i="1"/>
  <c r="J472" i="1"/>
  <c r="O471" i="1"/>
  <c r="M471" i="1"/>
  <c r="L471" i="1"/>
  <c r="J471" i="1"/>
  <c r="J470" i="1"/>
  <c r="O469" i="1"/>
  <c r="M469" i="1"/>
  <c r="L469" i="1"/>
  <c r="J469" i="1"/>
  <c r="J468" i="1"/>
  <c r="O467" i="1"/>
  <c r="M467" i="1"/>
  <c r="L467" i="1"/>
  <c r="J467" i="1"/>
  <c r="O466" i="1"/>
  <c r="M466" i="1"/>
  <c r="L466" i="1"/>
  <c r="J466" i="1"/>
  <c r="J465" i="1"/>
  <c r="O464" i="1"/>
  <c r="M464" i="1"/>
  <c r="L464" i="1"/>
  <c r="J464" i="1"/>
  <c r="J463" i="1"/>
  <c r="O462" i="1"/>
  <c r="M462" i="1"/>
  <c r="L462" i="1"/>
  <c r="J462" i="1"/>
  <c r="J461" i="1"/>
  <c r="O460" i="1"/>
  <c r="M460" i="1"/>
  <c r="L460" i="1"/>
  <c r="J460" i="1"/>
  <c r="O458" i="1"/>
  <c r="M458" i="1"/>
  <c r="L458" i="1"/>
  <c r="J458" i="1"/>
  <c r="J457" i="1"/>
  <c r="J456" i="1"/>
  <c r="O455" i="1"/>
  <c r="M455" i="1"/>
  <c r="L455" i="1"/>
  <c r="J455" i="1"/>
  <c r="P454" i="1"/>
  <c r="L454" i="1"/>
  <c r="O453" i="1"/>
  <c r="M453" i="1"/>
  <c r="L453" i="1"/>
  <c r="J453" i="1"/>
  <c r="P452" i="1"/>
  <c r="L452" i="1"/>
  <c r="O451" i="1"/>
  <c r="M451" i="1"/>
  <c r="L451" i="1"/>
  <c r="J451" i="1"/>
  <c r="P450" i="1"/>
  <c r="L450" i="1"/>
  <c r="O449" i="1"/>
  <c r="M449" i="1"/>
  <c r="L449" i="1"/>
  <c r="J449" i="1"/>
  <c r="J448" i="1"/>
  <c r="O447" i="1"/>
  <c r="M447" i="1"/>
  <c r="L447" i="1"/>
  <c r="J447" i="1"/>
  <c r="J446" i="1"/>
  <c r="J445" i="1"/>
  <c r="O444" i="1"/>
  <c r="M444" i="1"/>
  <c r="L444" i="1"/>
  <c r="J444" i="1"/>
  <c r="J443" i="1"/>
  <c r="J442" i="1"/>
  <c r="O441" i="1"/>
  <c r="M441" i="1"/>
  <c r="L441" i="1"/>
  <c r="J441" i="1"/>
  <c r="J440" i="1"/>
  <c r="O439" i="1"/>
  <c r="M439" i="1"/>
  <c r="L439" i="1"/>
  <c r="J439" i="1"/>
  <c r="O438" i="1"/>
  <c r="M438" i="1"/>
  <c r="J438" i="1"/>
  <c r="P437" i="1"/>
  <c r="O437" i="1"/>
  <c r="M437" i="1"/>
  <c r="L437" i="1"/>
  <c r="J437" i="1"/>
  <c r="O436" i="1"/>
  <c r="M436" i="1"/>
  <c r="L436" i="1"/>
  <c r="J436" i="1"/>
  <c r="O435" i="1"/>
  <c r="M435" i="1"/>
  <c r="L435" i="1"/>
  <c r="J435" i="1"/>
  <c r="J434" i="1"/>
  <c r="O433" i="1"/>
  <c r="M433" i="1"/>
  <c r="L433" i="1"/>
  <c r="J433" i="1"/>
  <c r="J432" i="1"/>
  <c r="J431" i="1"/>
  <c r="J430" i="1"/>
  <c r="O429" i="1"/>
  <c r="M429" i="1"/>
  <c r="L429" i="1"/>
  <c r="J429" i="1"/>
  <c r="M428" i="1"/>
  <c r="L428" i="1"/>
  <c r="J428" i="1"/>
  <c r="O427" i="1"/>
  <c r="M427" i="1"/>
  <c r="L427" i="1"/>
  <c r="J427" i="1"/>
  <c r="O425" i="1"/>
  <c r="M425" i="1"/>
  <c r="L425" i="1"/>
  <c r="J425" i="1"/>
  <c r="O424" i="1"/>
  <c r="M424" i="1"/>
  <c r="L424" i="1"/>
  <c r="J424" i="1"/>
  <c r="O423" i="1"/>
  <c r="M423" i="1"/>
  <c r="L423" i="1"/>
  <c r="J423" i="1"/>
  <c r="O422" i="1"/>
  <c r="M422" i="1"/>
  <c r="L422" i="1"/>
  <c r="J422" i="1"/>
  <c r="J421" i="1"/>
  <c r="I421" i="1"/>
  <c r="J420" i="1"/>
  <c r="J419" i="1"/>
  <c r="O418" i="1"/>
  <c r="M418" i="1"/>
  <c r="L418" i="1"/>
  <c r="J418" i="1"/>
  <c r="O417" i="1"/>
  <c r="M417" i="1"/>
  <c r="L417" i="1"/>
  <c r="J417" i="1"/>
  <c r="L416" i="1"/>
  <c r="J416" i="1"/>
  <c r="I416" i="1"/>
  <c r="M415" i="1"/>
  <c r="L415" i="1"/>
  <c r="J415" i="1"/>
  <c r="M414" i="1"/>
  <c r="L414" i="1"/>
  <c r="J414" i="1"/>
  <c r="O413" i="1"/>
  <c r="M413" i="1"/>
  <c r="L413" i="1"/>
  <c r="J413" i="1"/>
  <c r="O412" i="1"/>
  <c r="M412" i="1"/>
  <c r="L412" i="1"/>
  <c r="J412" i="1"/>
  <c r="O411" i="1"/>
  <c r="M411" i="1"/>
  <c r="L411" i="1"/>
  <c r="J411" i="1"/>
  <c r="O410" i="1"/>
  <c r="M410" i="1"/>
  <c r="L410" i="1"/>
  <c r="J410" i="1"/>
  <c r="J409" i="1"/>
  <c r="I409" i="1"/>
  <c r="J408" i="1"/>
  <c r="O407" i="1"/>
  <c r="M407" i="1"/>
  <c r="L407" i="1"/>
  <c r="J407" i="1"/>
  <c r="J406" i="1"/>
  <c r="O405" i="1"/>
  <c r="M405" i="1"/>
  <c r="L405" i="1"/>
  <c r="J405" i="1"/>
  <c r="J404" i="1"/>
  <c r="O403" i="1"/>
  <c r="M403" i="1"/>
  <c r="J403" i="1"/>
  <c r="O402" i="1"/>
  <c r="M402" i="1"/>
  <c r="L402" i="1"/>
  <c r="J402" i="1"/>
  <c r="J401" i="1"/>
  <c r="J400" i="1"/>
  <c r="O399" i="1"/>
  <c r="M399" i="1"/>
  <c r="L399" i="1"/>
  <c r="J399" i="1"/>
  <c r="J398" i="1"/>
  <c r="O397" i="1"/>
  <c r="L397" i="1"/>
  <c r="M397" i="1" s="1"/>
  <c r="J397" i="1"/>
  <c r="J396" i="1"/>
  <c r="O395" i="1"/>
  <c r="M395" i="1"/>
  <c r="L395" i="1"/>
  <c r="J395" i="1"/>
  <c r="O394" i="1"/>
  <c r="M394" i="1"/>
  <c r="L394" i="1"/>
  <c r="J394" i="1"/>
  <c r="O393" i="1"/>
  <c r="M393" i="1"/>
  <c r="L393" i="1"/>
  <c r="J393" i="1"/>
  <c r="J392" i="1"/>
  <c r="J391" i="1"/>
  <c r="O390" i="1"/>
  <c r="M390" i="1"/>
  <c r="L390" i="1"/>
  <c r="J390" i="1"/>
  <c r="J389" i="1"/>
  <c r="O388" i="1"/>
  <c r="M388" i="1"/>
  <c r="L388" i="1"/>
  <c r="J388" i="1"/>
  <c r="O387" i="1"/>
  <c r="M387" i="1"/>
  <c r="L387" i="1"/>
  <c r="J387" i="1"/>
  <c r="J386" i="1"/>
  <c r="J385" i="1"/>
  <c r="L384" i="1"/>
  <c r="M383" i="1"/>
  <c r="L383" i="1"/>
  <c r="J383" i="1"/>
  <c r="O382" i="1"/>
  <c r="M382" i="1"/>
  <c r="L382" i="1"/>
  <c r="J382" i="1"/>
  <c r="O381" i="1"/>
  <c r="M381" i="1"/>
  <c r="L381" i="1"/>
  <c r="J381" i="1"/>
  <c r="O380" i="1"/>
  <c r="M380" i="1"/>
  <c r="L380" i="1"/>
  <c r="J380" i="1"/>
  <c r="O379" i="1"/>
  <c r="M379" i="1"/>
  <c r="L379" i="1"/>
  <c r="J379" i="1"/>
  <c r="J378" i="1"/>
  <c r="J377" i="1"/>
  <c r="O376" i="1"/>
  <c r="M376" i="1"/>
  <c r="L376" i="1"/>
  <c r="J376" i="1"/>
  <c r="O375" i="1"/>
  <c r="M375" i="1"/>
  <c r="L375" i="1"/>
  <c r="J375" i="1"/>
  <c r="O374" i="1"/>
  <c r="M374" i="1"/>
  <c r="L374" i="1"/>
  <c r="J374" i="1"/>
  <c r="O373" i="1"/>
  <c r="M373" i="1"/>
  <c r="L373" i="1"/>
  <c r="J373" i="1"/>
  <c r="O372" i="1"/>
  <c r="M372" i="1"/>
  <c r="L372" i="1"/>
  <c r="J372" i="1"/>
  <c r="O371" i="1"/>
  <c r="M371" i="1"/>
  <c r="L371" i="1"/>
  <c r="J371" i="1"/>
  <c r="O370" i="1"/>
  <c r="M370" i="1"/>
  <c r="L370" i="1"/>
  <c r="J370" i="1"/>
  <c r="O369" i="1"/>
  <c r="M369" i="1"/>
  <c r="L369" i="1"/>
  <c r="J369" i="1"/>
  <c r="O368" i="1"/>
  <c r="M368" i="1"/>
  <c r="L368" i="1"/>
  <c r="J368" i="1"/>
  <c r="L367" i="1"/>
  <c r="L366" i="1"/>
  <c r="L365" i="1"/>
  <c r="L364" i="1"/>
  <c r="L363" i="1"/>
  <c r="M362" i="1"/>
  <c r="L362" i="1"/>
  <c r="O360" i="1"/>
  <c r="M360" i="1"/>
  <c r="L360" i="1"/>
  <c r="J360" i="1"/>
  <c r="O359" i="1"/>
  <c r="M359" i="1"/>
  <c r="L359" i="1"/>
  <c r="J359" i="1"/>
  <c r="L358" i="1"/>
  <c r="L357" i="1"/>
  <c r="L356" i="1"/>
  <c r="J355" i="1"/>
  <c r="O354" i="1"/>
  <c r="M354" i="1"/>
  <c r="L354" i="1"/>
  <c r="J354" i="1"/>
  <c r="J353" i="1"/>
  <c r="O352" i="1"/>
  <c r="M352" i="1"/>
  <c r="L352" i="1"/>
  <c r="J352" i="1"/>
  <c r="J351" i="1"/>
  <c r="O350" i="1"/>
  <c r="M350" i="1"/>
  <c r="L350" i="1"/>
  <c r="J350" i="1"/>
  <c r="L349" i="1"/>
  <c r="J346" i="1"/>
  <c r="O344" i="1"/>
  <c r="M344" i="1"/>
  <c r="L344" i="1"/>
  <c r="J344" i="1"/>
  <c r="O342" i="1"/>
  <c r="M342" i="1"/>
  <c r="L342" i="1"/>
  <c r="J342" i="1"/>
  <c r="M339" i="1"/>
  <c r="J339" i="1"/>
  <c r="O338" i="1"/>
  <c r="M338" i="1"/>
  <c r="L338" i="1"/>
  <c r="J338" i="1"/>
  <c r="O337" i="1"/>
  <c r="M337" i="1"/>
  <c r="L337" i="1"/>
  <c r="J337" i="1"/>
  <c r="O336" i="1"/>
  <c r="M336" i="1"/>
  <c r="L336" i="1"/>
  <c r="J336" i="1"/>
  <c r="O335" i="1"/>
  <c r="M335" i="1"/>
  <c r="L335" i="1"/>
  <c r="J335" i="1"/>
  <c r="J334" i="1"/>
  <c r="O333" i="1"/>
  <c r="M333" i="1"/>
  <c r="L333" i="1"/>
  <c r="J333" i="1"/>
  <c r="J332" i="1"/>
  <c r="O331" i="1"/>
  <c r="M331" i="1"/>
  <c r="L331" i="1"/>
  <c r="J331" i="1"/>
  <c r="J330" i="1"/>
  <c r="O329" i="1"/>
  <c r="M329" i="1"/>
  <c r="L329" i="1"/>
  <c r="J329" i="1"/>
  <c r="J328" i="1"/>
  <c r="O327" i="1"/>
  <c r="M327" i="1"/>
  <c r="L327" i="1"/>
  <c r="J327" i="1"/>
  <c r="J326" i="1"/>
  <c r="O325" i="1"/>
  <c r="M325" i="1"/>
  <c r="L325" i="1"/>
  <c r="J325" i="1"/>
  <c r="J324" i="1"/>
  <c r="O323" i="1"/>
  <c r="M323" i="1"/>
  <c r="L323" i="1"/>
  <c r="J323" i="1"/>
  <c r="J322" i="1"/>
  <c r="O321" i="1"/>
  <c r="M321" i="1"/>
  <c r="L321" i="1"/>
  <c r="J321" i="1"/>
  <c r="O320" i="1"/>
  <c r="M320" i="1"/>
  <c r="L320" i="1"/>
  <c r="J320" i="1"/>
  <c r="O319" i="1"/>
  <c r="M319" i="1"/>
  <c r="L319" i="1"/>
  <c r="J319" i="1"/>
  <c r="O318" i="1"/>
  <c r="M318" i="1"/>
  <c r="L318" i="1"/>
  <c r="J318" i="1"/>
  <c r="O317" i="1"/>
  <c r="M317" i="1"/>
  <c r="L317" i="1"/>
  <c r="J317" i="1"/>
  <c r="O316" i="1"/>
  <c r="M316" i="1"/>
  <c r="L316" i="1"/>
  <c r="J316" i="1"/>
  <c r="O315" i="1"/>
  <c r="M315" i="1"/>
  <c r="L315" i="1"/>
  <c r="J315" i="1"/>
  <c r="O314" i="1"/>
  <c r="M314" i="1"/>
  <c r="L314" i="1"/>
  <c r="J314" i="1"/>
  <c r="O313" i="1"/>
  <c r="M313" i="1"/>
  <c r="L313" i="1"/>
  <c r="J313" i="1"/>
  <c r="J312" i="1"/>
  <c r="O311" i="1"/>
  <c r="M311" i="1"/>
  <c r="L311" i="1"/>
  <c r="J311" i="1"/>
  <c r="J310" i="1"/>
  <c r="O309" i="1"/>
  <c r="M309" i="1"/>
  <c r="L309" i="1"/>
  <c r="J309" i="1"/>
  <c r="O308" i="1"/>
  <c r="M308" i="1"/>
  <c r="L308" i="1"/>
  <c r="J308" i="1"/>
  <c r="J307" i="1"/>
  <c r="O306" i="1"/>
  <c r="M306" i="1"/>
  <c r="L306" i="1"/>
  <c r="J306" i="1"/>
  <c r="J305" i="1"/>
  <c r="O304" i="1"/>
  <c r="M304" i="1"/>
  <c r="L304" i="1"/>
  <c r="J304" i="1"/>
  <c r="J303" i="1"/>
  <c r="O302" i="1"/>
  <c r="M302" i="1"/>
  <c r="L302" i="1"/>
  <c r="J302" i="1"/>
  <c r="J301" i="1"/>
  <c r="O300" i="1"/>
  <c r="M300" i="1"/>
  <c r="L300" i="1"/>
  <c r="J300" i="1"/>
  <c r="J299" i="1"/>
  <c r="O298" i="1"/>
  <c r="M298" i="1"/>
  <c r="L298" i="1"/>
  <c r="J298" i="1"/>
  <c r="J297" i="1"/>
  <c r="J296" i="1"/>
  <c r="O295" i="1"/>
  <c r="L295" i="1"/>
  <c r="J295" i="1"/>
  <c r="I295" i="1"/>
  <c r="M295" i="1" s="1"/>
  <c r="O294" i="1"/>
  <c r="M294" i="1"/>
  <c r="L294" i="1"/>
  <c r="J294" i="1"/>
  <c r="O293" i="1"/>
  <c r="M293" i="1"/>
  <c r="L293" i="1"/>
  <c r="J293" i="1"/>
  <c r="O292" i="1"/>
  <c r="M292" i="1"/>
  <c r="L292" i="1"/>
  <c r="J292" i="1"/>
  <c r="J291" i="1"/>
  <c r="O290" i="1"/>
  <c r="M290" i="1"/>
  <c r="L290" i="1"/>
  <c r="J290" i="1"/>
  <c r="O289" i="1"/>
  <c r="M289" i="1"/>
  <c r="L289" i="1"/>
  <c r="J289" i="1"/>
  <c r="M288" i="1"/>
  <c r="L288" i="1"/>
  <c r="J288" i="1"/>
  <c r="J287" i="1"/>
  <c r="O286" i="1"/>
  <c r="M286" i="1"/>
  <c r="L286" i="1"/>
  <c r="J286" i="1"/>
  <c r="J285" i="1"/>
  <c r="O284" i="1"/>
  <c r="M284" i="1"/>
  <c r="L284" i="1"/>
  <c r="J284" i="1"/>
  <c r="J283" i="1"/>
  <c r="O282" i="1"/>
  <c r="M282" i="1"/>
  <c r="L282" i="1"/>
  <c r="J282" i="1"/>
  <c r="J281" i="1"/>
  <c r="O280" i="1"/>
  <c r="M280" i="1"/>
  <c r="L280" i="1"/>
  <c r="J280" i="1"/>
  <c r="J279" i="1"/>
  <c r="O278" i="1"/>
  <c r="M278" i="1"/>
  <c r="L278" i="1"/>
  <c r="J278" i="1"/>
  <c r="J277" i="1"/>
  <c r="M276" i="1"/>
  <c r="L276" i="1"/>
  <c r="J276" i="1"/>
  <c r="O275" i="1"/>
  <c r="M275" i="1"/>
  <c r="L275" i="1"/>
  <c r="J275" i="1"/>
  <c r="J274" i="1"/>
  <c r="O273" i="1"/>
  <c r="M273" i="1"/>
  <c r="L273" i="1"/>
  <c r="J273" i="1"/>
  <c r="J272" i="1"/>
  <c r="O271" i="1"/>
  <c r="M271" i="1"/>
  <c r="L271" i="1"/>
  <c r="J271" i="1"/>
  <c r="J270" i="1"/>
  <c r="O269" i="1"/>
  <c r="M269" i="1"/>
  <c r="L269" i="1"/>
  <c r="J269" i="1"/>
  <c r="O268" i="1"/>
  <c r="M268" i="1"/>
  <c r="L268" i="1"/>
  <c r="J268" i="1"/>
  <c r="O267" i="1"/>
  <c r="M267" i="1"/>
  <c r="L267" i="1"/>
  <c r="J267" i="1"/>
  <c r="J266" i="1"/>
  <c r="J265" i="1"/>
  <c r="I265" i="1"/>
  <c r="O264" i="1"/>
  <c r="M264" i="1"/>
  <c r="L264" i="1"/>
  <c r="J264" i="1"/>
  <c r="J263" i="1"/>
  <c r="O262" i="1"/>
  <c r="M262" i="1"/>
  <c r="L262" i="1"/>
  <c r="J262" i="1"/>
  <c r="M260" i="1"/>
  <c r="L260" i="1"/>
  <c r="J259" i="1"/>
  <c r="J258" i="1"/>
  <c r="J257" i="1"/>
  <c r="J256" i="1"/>
  <c r="J255" i="1"/>
  <c r="J254" i="1"/>
  <c r="J253" i="1"/>
  <c r="J252" i="1"/>
  <c r="J251" i="1"/>
  <c r="O250" i="1"/>
  <c r="L250" i="1"/>
  <c r="J250" i="1"/>
  <c r="I250" i="1"/>
  <c r="M250" i="1" s="1"/>
  <c r="J249" i="1"/>
  <c r="J248" i="1"/>
  <c r="J247" i="1"/>
  <c r="O246" i="1"/>
  <c r="L246" i="1"/>
  <c r="J246" i="1"/>
  <c r="I246" i="1"/>
  <c r="M246" i="1" s="1"/>
  <c r="J245" i="1"/>
  <c r="J244" i="1"/>
  <c r="O243" i="1"/>
  <c r="L243" i="1"/>
  <c r="J243" i="1"/>
  <c r="I243" i="1"/>
  <c r="M243" i="1" s="1"/>
  <c r="J242" i="1"/>
  <c r="J241" i="1"/>
  <c r="J240" i="1"/>
  <c r="J239" i="1"/>
  <c r="O238" i="1"/>
  <c r="L238" i="1"/>
  <c r="J238" i="1"/>
  <c r="I238" i="1"/>
  <c r="M238" i="1" s="1"/>
  <c r="O237" i="1"/>
  <c r="M237" i="1"/>
  <c r="L237" i="1"/>
  <c r="J237" i="1"/>
  <c r="O236" i="1"/>
  <c r="M236" i="1"/>
  <c r="L236" i="1"/>
  <c r="J236" i="1"/>
  <c r="O235" i="1"/>
  <c r="M235" i="1"/>
  <c r="L235" i="1"/>
  <c r="J235" i="1"/>
  <c r="O234" i="1"/>
  <c r="M234" i="1"/>
  <c r="L234" i="1"/>
  <c r="J234" i="1"/>
  <c r="M233" i="1"/>
  <c r="L233" i="1"/>
  <c r="M232" i="1"/>
  <c r="L232" i="1"/>
  <c r="O231" i="1"/>
  <c r="M231" i="1"/>
  <c r="L231" i="1"/>
  <c r="J231" i="1"/>
  <c r="O230" i="1"/>
  <c r="M230" i="1"/>
  <c r="L230" i="1"/>
  <c r="J230" i="1"/>
  <c r="O229" i="1"/>
  <c r="M229" i="1"/>
  <c r="L229" i="1"/>
  <c r="J229" i="1"/>
  <c r="O228" i="1"/>
  <c r="M228" i="1"/>
  <c r="L228" i="1"/>
  <c r="J228" i="1"/>
  <c r="J227" i="1"/>
  <c r="O226" i="1"/>
  <c r="M226" i="1"/>
  <c r="L226" i="1"/>
  <c r="J226" i="1"/>
  <c r="J225" i="1"/>
  <c r="O224" i="1"/>
  <c r="M224" i="1"/>
  <c r="L224" i="1"/>
  <c r="J224" i="1"/>
  <c r="O223" i="1"/>
  <c r="M223" i="1"/>
  <c r="L223" i="1"/>
  <c r="J223" i="1"/>
  <c r="M222" i="1"/>
  <c r="L222" i="1"/>
  <c r="J222" i="1"/>
  <c r="O221" i="1"/>
  <c r="M221" i="1"/>
  <c r="L221" i="1"/>
  <c r="J221" i="1"/>
  <c r="M220" i="1"/>
  <c r="L220" i="1"/>
  <c r="J220" i="1"/>
  <c r="O219" i="1"/>
  <c r="J219" i="1"/>
  <c r="J218" i="1"/>
  <c r="O217" i="1"/>
  <c r="M217" i="1"/>
  <c r="L217" i="1"/>
  <c r="J217" i="1"/>
  <c r="J216" i="1"/>
  <c r="J215" i="1"/>
  <c r="O214" i="1"/>
  <c r="M214" i="1"/>
  <c r="L214" i="1"/>
  <c r="J214" i="1"/>
  <c r="J213" i="1"/>
  <c r="O212" i="1"/>
  <c r="M212" i="1"/>
  <c r="L212" i="1"/>
  <c r="J212" i="1"/>
  <c r="O211" i="1"/>
  <c r="M211" i="1"/>
  <c r="L211" i="1"/>
  <c r="J211" i="1"/>
  <c r="J210" i="1"/>
  <c r="O209" i="1"/>
  <c r="M209" i="1"/>
  <c r="L209" i="1"/>
  <c r="J209" i="1"/>
  <c r="J208" i="1"/>
  <c r="O207" i="1"/>
  <c r="M207" i="1"/>
  <c r="L207" i="1"/>
  <c r="J207" i="1"/>
  <c r="L206" i="1"/>
  <c r="J206" i="1"/>
  <c r="O205" i="1"/>
  <c r="M205" i="1"/>
  <c r="L205" i="1"/>
  <c r="J205" i="1"/>
  <c r="P204" i="1"/>
  <c r="L204" i="1"/>
  <c r="O203" i="1"/>
  <c r="M203" i="1"/>
  <c r="L203" i="1"/>
  <c r="J203" i="1"/>
  <c r="O202" i="1"/>
  <c r="M202" i="1"/>
  <c r="L202" i="1"/>
  <c r="J202" i="1"/>
  <c r="P201" i="1"/>
  <c r="L201" i="1"/>
  <c r="O200" i="1"/>
  <c r="M200" i="1"/>
  <c r="L200" i="1"/>
  <c r="J200" i="1"/>
  <c r="J199" i="1"/>
  <c r="J198" i="1"/>
  <c r="O197" i="1"/>
  <c r="M197" i="1"/>
  <c r="L197" i="1"/>
  <c r="J197" i="1"/>
  <c r="M195" i="1"/>
  <c r="L195" i="1"/>
  <c r="J195" i="1"/>
  <c r="M194" i="1"/>
  <c r="L194" i="1"/>
  <c r="J194" i="1"/>
  <c r="O192" i="1"/>
  <c r="L192" i="1"/>
  <c r="M192" i="1" s="1"/>
  <c r="J192" i="1"/>
  <c r="O191" i="1"/>
  <c r="L191" i="1"/>
  <c r="M191" i="1" s="1"/>
  <c r="J191" i="1"/>
  <c r="O190" i="1"/>
  <c r="L190" i="1"/>
  <c r="M190" i="1" s="1"/>
  <c r="J190" i="1"/>
  <c r="O189" i="1"/>
  <c r="L189" i="1"/>
  <c r="M189" i="1" s="1"/>
  <c r="J189" i="1"/>
  <c r="J183" i="1"/>
  <c r="J182" i="1"/>
  <c r="J181" i="1"/>
  <c r="O180" i="1"/>
  <c r="M180" i="1"/>
  <c r="L180" i="1"/>
  <c r="J180" i="1"/>
  <c r="J179" i="1"/>
  <c r="M178" i="1"/>
  <c r="J178" i="1"/>
  <c r="J177" i="1"/>
  <c r="O176" i="1"/>
  <c r="M176" i="1"/>
  <c r="L176" i="1"/>
  <c r="J176" i="1"/>
  <c r="P175" i="1"/>
  <c r="L175" i="1"/>
  <c r="O174" i="1"/>
  <c r="M174" i="1"/>
  <c r="L174" i="1"/>
  <c r="J174" i="1"/>
  <c r="J173" i="1"/>
  <c r="O172" i="1"/>
  <c r="M172" i="1"/>
  <c r="L172" i="1"/>
  <c r="J172" i="1"/>
  <c r="J171" i="1"/>
  <c r="O170" i="1"/>
  <c r="M170" i="1"/>
  <c r="L170" i="1"/>
  <c r="J170" i="1"/>
  <c r="J169" i="1"/>
  <c r="O168" i="1"/>
  <c r="M168" i="1"/>
  <c r="L168" i="1"/>
  <c r="J168" i="1"/>
  <c r="J167" i="1"/>
  <c r="M166" i="1"/>
  <c r="L166" i="1"/>
  <c r="J166" i="1"/>
  <c r="J165" i="1"/>
  <c r="O164" i="1"/>
  <c r="M164" i="1"/>
  <c r="L164" i="1"/>
  <c r="J164" i="1"/>
  <c r="J163" i="1"/>
  <c r="J162" i="1"/>
  <c r="O161" i="1"/>
  <c r="M161" i="1"/>
  <c r="L161" i="1"/>
  <c r="J161" i="1"/>
  <c r="J160" i="1"/>
  <c r="O159" i="1"/>
  <c r="M159" i="1"/>
  <c r="L159" i="1"/>
  <c r="J159" i="1"/>
  <c r="J158" i="1"/>
  <c r="O157" i="1"/>
  <c r="M157" i="1"/>
  <c r="L157" i="1"/>
  <c r="J157" i="1"/>
  <c r="J156" i="1"/>
  <c r="O155" i="1"/>
  <c r="M155" i="1"/>
  <c r="L155" i="1"/>
  <c r="J155" i="1"/>
  <c r="O154" i="1"/>
  <c r="M154" i="1"/>
  <c r="L154" i="1"/>
  <c r="J154" i="1"/>
  <c r="O153" i="1"/>
  <c r="M153" i="1"/>
  <c r="L153" i="1"/>
  <c r="J153" i="1"/>
  <c r="O152" i="1"/>
  <c r="M152" i="1"/>
  <c r="L152" i="1"/>
  <c r="J152" i="1"/>
  <c r="O151" i="1"/>
  <c r="M151" i="1"/>
  <c r="L151" i="1"/>
  <c r="J151" i="1"/>
  <c r="O150" i="1"/>
  <c r="M150" i="1"/>
  <c r="L150" i="1"/>
  <c r="J150" i="1"/>
  <c r="J149" i="1"/>
  <c r="J148" i="1"/>
  <c r="O147" i="1"/>
  <c r="M147" i="1"/>
  <c r="L147" i="1"/>
  <c r="J147" i="1"/>
  <c r="J146" i="1"/>
  <c r="O145" i="1"/>
  <c r="M145" i="1"/>
  <c r="L145" i="1"/>
  <c r="J145" i="1"/>
  <c r="J144" i="1"/>
  <c r="O143" i="1"/>
  <c r="M143" i="1"/>
  <c r="L143" i="1"/>
  <c r="J143" i="1"/>
  <c r="M141" i="1"/>
  <c r="L141" i="1"/>
  <c r="M139" i="1"/>
  <c r="L139" i="1"/>
  <c r="J138" i="1"/>
  <c r="O137" i="1"/>
  <c r="M137" i="1"/>
  <c r="L137" i="1"/>
  <c r="J137" i="1"/>
  <c r="O136" i="1"/>
  <c r="M136" i="1"/>
  <c r="L136" i="1"/>
  <c r="J136" i="1"/>
  <c r="P135" i="1"/>
  <c r="O134" i="1"/>
  <c r="M134" i="1"/>
  <c r="L134" i="1"/>
  <c r="J134" i="1"/>
  <c r="P133" i="1"/>
  <c r="L133" i="1"/>
  <c r="O132" i="1"/>
  <c r="M132" i="1"/>
  <c r="L132" i="1"/>
  <c r="J132" i="1"/>
  <c r="P131" i="1"/>
  <c r="L131" i="1"/>
  <c r="O130" i="1"/>
  <c r="M130" i="1"/>
  <c r="L130" i="1"/>
  <c r="J130" i="1"/>
  <c r="P129" i="1"/>
  <c r="L129" i="1"/>
  <c r="O128" i="1"/>
  <c r="M128" i="1"/>
  <c r="L128" i="1"/>
  <c r="J128" i="1"/>
  <c r="M126" i="1"/>
  <c r="L126" i="1"/>
  <c r="J125" i="1"/>
  <c r="O124" i="1"/>
  <c r="M124" i="1"/>
  <c r="L124" i="1"/>
  <c r="J124" i="1"/>
  <c r="J123" i="1"/>
  <c r="O122" i="1"/>
  <c r="M122" i="1"/>
  <c r="L122" i="1"/>
  <c r="J122" i="1"/>
  <c r="P121" i="1"/>
  <c r="L121" i="1"/>
  <c r="O120" i="1"/>
  <c r="M120" i="1"/>
  <c r="L120" i="1"/>
  <c r="J120" i="1"/>
  <c r="J119" i="1"/>
  <c r="O118" i="1"/>
  <c r="M118" i="1"/>
  <c r="L118" i="1"/>
  <c r="J118" i="1"/>
  <c r="J117" i="1"/>
  <c r="O116" i="1"/>
  <c r="M116" i="1"/>
  <c r="L116" i="1"/>
  <c r="J116" i="1"/>
  <c r="M114" i="1"/>
  <c r="L114" i="1"/>
  <c r="J113" i="1"/>
  <c r="J112" i="1"/>
  <c r="O111" i="1"/>
  <c r="M111" i="1"/>
  <c r="L111" i="1"/>
  <c r="J111" i="1"/>
  <c r="J110" i="1"/>
  <c r="P109" i="1"/>
  <c r="L109" i="1"/>
  <c r="O108" i="1"/>
  <c r="M108" i="1"/>
  <c r="L108" i="1"/>
  <c r="J108" i="1"/>
  <c r="M106" i="1"/>
  <c r="L106" i="1"/>
  <c r="J105" i="1"/>
  <c r="O104" i="1"/>
  <c r="M104" i="1"/>
  <c r="L104" i="1"/>
  <c r="J104" i="1"/>
  <c r="O103" i="1"/>
  <c r="M103" i="1"/>
  <c r="L103" i="1"/>
  <c r="J103" i="1"/>
  <c r="M102" i="1"/>
  <c r="L102" i="1"/>
  <c r="M101" i="1"/>
  <c r="L101" i="1"/>
  <c r="P100" i="1"/>
  <c r="L100" i="1"/>
  <c r="O99" i="1"/>
  <c r="M99" i="1"/>
  <c r="L99" i="1"/>
  <c r="J99" i="1"/>
  <c r="P98" i="1"/>
  <c r="L98" i="1"/>
  <c r="J98" i="1"/>
  <c r="O97" i="1"/>
  <c r="M97" i="1"/>
  <c r="L97" i="1"/>
  <c r="J97" i="1"/>
  <c r="P96" i="1"/>
  <c r="L96" i="1"/>
  <c r="J96" i="1"/>
  <c r="O95" i="1"/>
  <c r="M95" i="1"/>
  <c r="L95" i="1"/>
  <c r="J95" i="1"/>
  <c r="J94" i="1"/>
  <c r="O93" i="1"/>
  <c r="M93" i="1"/>
  <c r="L93" i="1"/>
  <c r="J93" i="1"/>
  <c r="J92" i="1"/>
  <c r="P91" i="1"/>
  <c r="L91" i="1"/>
  <c r="O90" i="1"/>
  <c r="M90" i="1"/>
  <c r="L90" i="1"/>
  <c r="J90" i="1"/>
  <c r="P89" i="1"/>
  <c r="L89" i="1"/>
  <c r="O88" i="1"/>
  <c r="M88" i="1"/>
  <c r="L88" i="1"/>
  <c r="J88" i="1"/>
  <c r="P87" i="1"/>
  <c r="L87" i="1"/>
  <c r="O86" i="1"/>
  <c r="M86" i="1"/>
  <c r="L86" i="1"/>
  <c r="J86" i="1"/>
  <c r="P85" i="1"/>
  <c r="L85" i="1"/>
  <c r="O84" i="1"/>
  <c r="M84" i="1"/>
  <c r="L84" i="1"/>
  <c r="J84" i="1"/>
  <c r="P83" i="1"/>
  <c r="L83" i="1"/>
  <c r="O82" i="1"/>
  <c r="M82" i="1"/>
  <c r="L82" i="1"/>
  <c r="J82" i="1"/>
  <c r="M80" i="1"/>
  <c r="L80" i="1"/>
  <c r="P79" i="1"/>
  <c r="L79" i="1"/>
  <c r="O78" i="1"/>
  <c r="M78" i="1"/>
  <c r="L78" i="1"/>
  <c r="J78" i="1"/>
  <c r="P77" i="1"/>
  <c r="L77" i="1"/>
  <c r="O76" i="1"/>
  <c r="M76" i="1"/>
  <c r="L76" i="1"/>
  <c r="J76" i="1"/>
  <c r="P75" i="1"/>
  <c r="L75" i="1"/>
  <c r="O74" i="1"/>
  <c r="M74" i="1"/>
  <c r="L74" i="1"/>
  <c r="J74" i="1"/>
  <c r="P73" i="1"/>
  <c r="L73" i="1"/>
  <c r="O72" i="1"/>
  <c r="M72" i="1"/>
  <c r="L72" i="1"/>
  <c r="J72" i="1"/>
  <c r="P71" i="1"/>
  <c r="L71" i="1"/>
  <c r="O70" i="1"/>
  <c r="M70" i="1"/>
  <c r="L70" i="1"/>
  <c r="J70" i="1"/>
  <c r="P69" i="1"/>
  <c r="L69" i="1"/>
  <c r="O68" i="1"/>
  <c r="M68" i="1"/>
  <c r="L68" i="1"/>
  <c r="J68" i="1"/>
  <c r="J67" i="1"/>
  <c r="O66" i="1"/>
  <c r="M66" i="1"/>
  <c r="L66" i="1"/>
  <c r="J66" i="1"/>
  <c r="P65" i="1"/>
  <c r="L65" i="1"/>
  <c r="O64" i="1"/>
  <c r="M64" i="1"/>
  <c r="L64" i="1"/>
  <c r="J64" i="1"/>
  <c r="P63" i="1"/>
  <c r="L63" i="1"/>
  <c r="O62" i="1"/>
  <c r="M62" i="1"/>
  <c r="L62" i="1"/>
  <c r="J62" i="1"/>
  <c r="O60" i="1"/>
  <c r="M60" i="1"/>
  <c r="L60" i="1"/>
  <c r="J60" i="1"/>
  <c r="O57" i="1"/>
  <c r="M57" i="1"/>
  <c r="L57" i="1"/>
  <c r="J57" i="1"/>
  <c r="O55" i="1"/>
  <c r="M55" i="1"/>
  <c r="L55" i="1"/>
  <c r="J55" i="1"/>
  <c r="P52" i="1"/>
  <c r="L52" i="1"/>
  <c r="O51" i="1"/>
  <c r="M51" i="1"/>
  <c r="L51" i="1"/>
  <c r="J51" i="1"/>
  <c r="P50" i="1"/>
  <c r="L50" i="1"/>
  <c r="O49" i="1"/>
  <c r="M49" i="1"/>
  <c r="L49" i="1"/>
  <c r="J49" i="1"/>
  <c r="P48" i="1"/>
  <c r="L48" i="1"/>
  <c r="J48" i="1"/>
  <c r="O47" i="1"/>
  <c r="M47" i="1"/>
  <c r="L47" i="1"/>
  <c r="J47" i="1"/>
  <c r="L45" i="1"/>
  <c r="P44" i="1"/>
  <c r="L44" i="1"/>
  <c r="J44" i="1"/>
  <c r="O43" i="1"/>
  <c r="M43" i="1"/>
  <c r="L43" i="1"/>
  <c r="J43" i="1"/>
  <c r="M41" i="1"/>
  <c r="L41" i="1"/>
  <c r="P40" i="1"/>
  <c r="L40" i="1"/>
  <c r="J40" i="1"/>
  <c r="O39" i="1"/>
  <c r="M39" i="1"/>
  <c r="L39" i="1"/>
  <c r="J39" i="1"/>
  <c r="M37" i="1"/>
  <c r="L37" i="1"/>
  <c r="O36" i="1"/>
  <c r="M36" i="1"/>
  <c r="L36" i="1"/>
  <c r="J36" i="1"/>
  <c r="L35" i="1"/>
  <c r="J34" i="1"/>
  <c r="O33" i="1"/>
  <c r="M33" i="1"/>
  <c r="L33" i="1"/>
  <c r="J33" i="1"/>
  <c r="J32" i="1"/>
  <c r="O31" i="1"/>
  <c r="M31" i="1"/>
  <c r="L31" i="1"/>
  <c r="J31" i="1"/>
  <c r="J30" i="1"/>
  <c r="O29" i="1"/>
  <c r="M29" i="1"/>
  <c r="L29" i="1"/>
  <c r="J29" i="1"/>
  <c r="M27" i="1"/>
  <c r="L27" i="1"/>
  <c r="M25" i="1"/>
  <c r="L25" i="1"/>
  <c r="J24" i="1"/>
  <c r="O23" i="1"/>
  <c r="M23" i="1"/>
  <c r="L23" i="1"/>
  <c r="J23" i="1"/>
  <c r="M21" i="1"/>
  <c r="L21" i="1"/>
  <c r="M19" i="1"/>
  <c r="L19" i="1"/>
  <c r="L18" i="1"/>
  <c r="O17" i="1"/>
  <c r="M17" i="1"/>
  <c r="L17" i="1"/>
  <c r="J17" i="1"/>
  <c r="J16" i="1"/>
  <c r="O15" i="1"/>
  <c r="M15" i="1"/>
  <c r="L15" i="1"/>
  <c r="J15" i="1"/>
  <c r="J14" i="1"/>
  <c r="O13" i="1"/>
  <c r="O187" i="1" s="1"/>
  <c r="L13" i="1"/>
  <c r="M13" i="1" s="1"/>
  <c r="J13" i="1"/>
  <c r="M478" i="1" l="1"/>
  <c r="K506" i="1"/>
  <c r="O506" i="1"/>
  <c r="K563" i="1"/>
  <c r="K187" i="1"/>
  <c r="O563" i="1"/>
  <c r="O692" i="1"/>
  <c r="K739" i="1"/>
  <c r="K692" i="1"/>
  <c r="O340" i="1"/>
  <c r="O739" i="1"/>
  <c r="K749" i="1"/>
  <c r="F761" i="1"/>
  <c r="K340" i="1"/>
</calcChain>
</file>

<file path=xl/comments1.xml><?xml version="1.0" encoding="utf-8"?>
<comments xmlns="http://schemas.openxmlformats.org/spreadsheetml/2006/main">
  <authors>
    <author/>
  </authors>
  <commentList>
    <comment ref="E190" authorId="0" shapeId="0">
      <text>
        <r>
          <rPr>
            <sz val="11"/>
            <color theme="1"/>
            <rFont val="Arial"/>
          </rPr>
          <t>Hi Britta, The Bake Crafters Hamburger bun you submitted does not meet the requirements it is only a 1oz grain credit and on the bid specs.  It needs to be a 2oz grain credit.
	-Leta Lute</t>
        </r>
      </text>
    </comment>
  </commentList>
</comments>
</file>

<file path=xl/sharedStrings.xml><?xml version="1.0" encoding="utf-8"?>
<sst xmlns="http://schemas.openxmlformats.org/spreadsheetml/2006/main" count="2659" uniqueCount="1796">
  <si>
    <t>NAME:</t>
  </si>
  <si>
    <t>ITEM DESCRIPTION</t>
  </si>
  <si>
    <t>SPEC SIZE</t>
  </si>
  <si>
    <t>PACK SIZE IF DIFFERENT THAN SPEC</t>
  </si>
  <si>
    <t>DIST ORDER #</t>
  </si>
  <si>
    <t>APPROVED BRANDS</t>
  </si>
  <si>
    <t>BID UNIT</t>
  </si>
  <si>
    <t>ESMTD QTY NEEDED</t>
  </si>
  <si>
    <t>8% mark up</t>
  </si>
  <si>
    <t>2021 - 2022 Bid Price</t>
  </si>
  <si>
    <t>UNIT PRICE</t>
  </si>
  <si>
    <t>EXTENDED (EST QTY x UNIT PRICE)</t>
  </si>
  <si>
    <t>2021-2022</t>
  </si>
  <si>
    <t>Kingston K-14 and Richwoods R-7 School District, Food Service Department are requesting pricing on the items listed below</t>
  </si>
  <si>
    <t>Pricing is to be locked in starting August 1, 2021 and ending July 31, 2022.  Pricing may be extended.</t>
  </si>
  <si>
    <t xml:space="preserve">The estimated quantities on this list are for information purposes only and do not in any way obligate Kingston K-14 or Richwoods R-7 School District to purchase any definite quantity of any item.  </t>
  </si>
  <si>
    <t>These estimates are based on our yearly usage.</t>
  </si>
  <si>
    <t xml:space="preserve">Account Numbers:  Kingston MS/HS -                 , Prim/Elem-                , Supper                , FFVP             , CUSTODIAL                     Richwoods # </t>
  </si>
  <si>
    <t>CONTACT:  LETA A. LUTE, D.F.S. (573-438-4982 x892)</t>
  </si>
  <si>
    <t>This institution is an equal opportunity provider.</t>
  </si>
  <si>
    <t xml:space="preserve">NAME OF VENDOR:    </t>
  </si>
  <si>
    <t>PHONE #:</t>
  </si>
  <si>
    <t>2020 - 2021 Bid Price</t>
  </si>
  <si>
    <t>% INCREASE/ DECREASE</t>
  </si>
  <si>
    <t>2019 - 2020 Bid Price</t>
  </si>
  <si>
    <t>MEAT/MEAT ALTERNATIVES</t>
  </si>
  <si>
    <t>MEAT, BEEF, GROUND FINE 81/19</t>
  </si>
  <si>
    <r>
      <rPr>
        <sz val="9"/>
        <color theme="1"/>
        <rFont val="Arial"/>
      </rPr>
      <t xml:space="preserve">FRESH OR FROZEN, RAW GROUND BEEF   </t>
    </r>
    <r>
      <rPr>
        <sz val="9"/>
        <color rgb="FFFF0000"/>
        <rFont val="Arial"/>
      </rPr>
      <t>(Commodity Processed)</t>
    </r>
  </si>
  <si>
    <t>12/5#</t>
  </si>
  <si>
    <t>SCHUSTER MEAT CORP. #00423632010003</t>
  </si>
  <si>
    <t>POUND</t>
  </si>
  <si>
    <t xml:space="preserve">We would really like to keep the 5# packaging if at all possible.      </t>
  </si>
  <si>
    <t xml:space="preserve">or Equal To </t>
  </si>
  <si>
    <t>PER LB</t>
  </si>
  <si>
    <t>Market</t>
  </si>
  <si>
    <t>MEAT, BEEF MEATBALLS</t>
  </si>
  <si>
    <t>Fully cooked, all meat, beef meatballs with seasoning.  CN labeled.</t>
  </si>
  <si>
    <t>10#</t>
  </si>
  <si>
    <t>ADVANCE PIERRE 17-505-0 CN</t>
  </si>
  <si>
    <t>CASE</t>
  </si>
  <si>
    <t xml:space="preserve">CN label 5meatballs = 2oz M/MA                                                                   </t>
  </si>
  <si>
    <t>NOI ?</t>
  </si>
  <si>
    <t>or Equal To</t>
  </si>
  <si>
    <t>PER SRV.</t>
  </si>
  <si>
    <t xml:space="preserve">MEAT, BEEF PATTIES                                                    </t>
  </si>
  <si>
    <t xml:space="preserve">Fully cooked beef steak burger 80/20 round shape with scalloped edge.  </t>
  </si>
  <si>
    <t xml:space="preserve">170/2OZ  </t>
  </si>
  <si>
    <t>NOI</t>
  </si>
  <si>
    <t>PIERRE # 69050</t>
  </si>
  <si>
    <t xml:space="preserve">Clean Label CN label 1 -2 oz patty = 2 M/MA                                                     </t>
  </si>
  <si>
    <t xml:space="preserve">Commodity </t>
  </si>
  <si>
    <t xml:space="preserve">MEAT. BEEF PHILLY STEAK </t>
  </si>
  <si>
    <t>Each 30.00 LB Case Provides 167- 2.86 oz Servings. Each 2.86 oz Serving (by weight) of CN Fully Cooked Beef Steak, Water and Binder Product, Chopped and Formed Provides 2.00oz Equivalent Meat for Child Nutrition Meal Pattern Requirements. (Use of this logo and statement authorized by the Food and Nutrition Service, USDA 11/17)</t>
  </si>
  <si>
    <t>6/5# 126/3.8OZ</t>
  </si>
  <si>
    <t>JTM # 5813 OR EQUAL TO</t>
  </si>
  <si>
    <t xml:space="preserve">CN 2.86oz = 2oz M/MA                                                                      </t>
  </si>
  <si>
    <t>MEAT, BEEF-MINI CHEESEBURGERS</t>
  </si>
  <si>
    <t>Two 2.35 oz. fully cooked flamebroiled beef patty with onion and American cheese mini twin sandwiches on a whole grain bun provide 2.00 oz equivalent meat/meat alternate and 2.00 oz equivalent grains for child nutrition meal pattern requirements.</t>
  </si>
  <si>
    <t>96/4.71oz srv</t>
  </si>
  <si>
    <t>TYSON/PIERRE # 10000011177</t>
  </si>
  <si>
    <t xml:space="preserve">CN 2/2.35oz burgers = 2 M/MA-2 GRAIN.                                     </t>
  </si>
  <si>
    <t xml:space="preserve">OR EQUAL TO </t>
  </si>
  <si>
    <t>MEAT, BEEF RAVIOLI, SCHOOL PACK</t>
  </si>
  <si>
    <t>Beef filled ravioli in meat sauce.</t>
  </si>
  <si>
    <t>6/#10</t>
  </si>
  <si>
    <t>Chef Boyardee 64144-81080</t>
  </si>
  <si>
    <r>
      <rPr>
        <sz val="9"/>
        <color theme="1"/>
        <rFont val="Arial"/>
      </rPr>
      <t xml:space="preserve">8 pies provides 2 M/Ma, 3/8c veg.    </t>
    </r>
    <r>
      <rPr>
        <b/>
        <sz val="9"/>
        <color theme="1"/>
        <rFont val="Arial"/>
      </rPr>
      <t xml:space="preserve">                                                                                                    </t>
    </r>
  </si>
  <si>
    <t>(CN LABELED) or Equal To</t>
  </si>
  <si>
    <t>MEAT. BREAKFAST ON A STICK, TURKEY</t>
  </si>
  <si>
    <t>IW/WG Original Pancake &amp; Turkey Sausage Breakfast Sticks</t>
  </si>
  <si>
    <t>40/2.51oz</t>
  </si>
  <si>
    <t>Jimmy Dean # 70613 or equal to</t>
  </si>
  <si>
    <t>$ -</t>
  </si>
  <si>
    <t xml:space="preserve">Cn label---1 oz M/ 1 oz Grain                                                                    </t>
  </si>
  <si>
    <t>Note:students do not like Foster Farms</t>
  </si>
  <si>
    <t>60/2.51Z</t>
  </si>
  <si>
    <t>MEAT. BREAKFAST ON A STICK,PORK</t>
  </si>
  <si>
    <t>IW/WG Original Pancake &amp; Pork Sausage Breakfast Sticks</t>
  </si>
  <si>
    <t>48/2.51oz</t>
  </si>
  <si>
    <t>Jimmy Dean # 19008 or equal to</t>
  </si>
  <si>
    <t xml:space="preserve">Cn label---1 oz M/ 1 oz Grain                                                                </t>
  </si>
  <si>
    <t>MEAT, BREAKFAST, TACO, EGG</t>
  </si>
  <si>
    <t>Egg and cheese rolled tacos</t>
  </si>
  <si>
    <t>50/2.5oz</t>
  </si>
  <si>
    <t>EL MONTEREY 41096</t>
  </si>
  <si>
    <t xml:space="preserve">CN Label 1oz M/MA  1oz Grain                                                         </t>
  </si>
  <si>
    <t>MEAT, BREAKFAST, TACO, SAUS.</t>
  </si>
  <si>
    <t>Egg, cheese, potatoes and turkey sausage rolled tacos</t>
  </si>
  <si>
    <t>EL MONTEREY 41525</t>
  </si>
  <si>
    <t xml:space="preserve">CN Label 1oz M/MA  1oz Grain                                                                           </t>
  </si>
  <si>
    <t>MEAT, CHEESE COTTAGE</t>
  </si>
  <si>
    <r>
      <rPr>
        <sz val="9"/>
        <color theme="1"/>
        <rFont val="Arial"/>
      </rPr>
      <t xml:space="preserve">Low Fat Cottage Cheese - </t>
    </r>
    <r>
      <rPr>
        <b/>
        <sz val="9"/>
        <color theme="1"/>
        <rFont val="Arial"/>
      </rPr>
      <t xml:space="preserve">                               </t>
    </r>
  </si>
  <si>
    <t>5#</t>
  </si>
  <si>
    <t>Distributor Choice</t>
  </si>
  <si>
    <t xml:space="preserve">1/2 cup serving = 2oz M/MA                                                                                   </t>
  </si>
  <si>
    <t>COUNTRY FRESH</t>
  </si>
  <si>
    <t>MEAT, CHEESE CREAM LOAF</t>
  </si>
  <si>
    <t xml:space="preserve">Cream cheese loaf                                                                                                                  </t>
  </si>
  <si>
    <t>3# LOAF</t>
  </si>
  <si>
    <t>EACH</t>
  </si>
  <si>
    <t>MEAT, CHEESE PARMESAN</t>
  </si>
  <si>
    <t xml:space="preserve">Cheese grated 100% parmesan                                                                                                 </t>
  </si>
  <si>
    <t>5# BAG</t>
  </si>
  <si>
    <t>Distributor Choice- PACKER</t>
  </si>
  <si>
    <t>BAG</t>
  </si>
  <si>
    <t>MEAT, CHEESE LASAGNA</t>
  </si>
  <si>
    <t xml:space="preserve">5 Cheese lasagna Rollup                                                                                                            </t>
  </si>
  <si>
    <t>100/4.30 oz</t>
  </si>
  <si>
    <t xml:space="preserve">Tasty Brands - # 00801WG or equal to </t>
  </si>
  <si>
    <t>CN: 1-4.30 ROLLUP = 2 M/MA, 1 GRAIN</t>
  </si>
  <si>
    <t>MEAT, CHEESE RAVIOLI</t>
  </si>
  <si>
    <t>Whole Grain Mini Cheese Ravioli - 221-2.17z srv-7each</t>
  </si>
  <si>
    <t>30#</t>
  </si>
  <si>
    <t>TASTY 00834WG</t>
  </si>
  <si>
    <t xml:space="preserve">CN Label 1oz M/MA  1/2oz Grain                          </t>
  </si>
  <si>
    <t>MEAT, CHEESE TORTELLINI</t>
  </si>
  <si>
    <r>
      <rPr>
        <sz val="9"/>
        <color theme="1"/>
        <rFont val="Arial"/>
      </rPr>
      <t>Whole grain ready to eat four cheese tortellini =211-2.27z srv cs(14 persrv)</t>
    </r>
    <r>
      <rPr>
        <b/>
        <sz val="9"/>
        <color theme="1"/>
        <rFont val="Arial"/>
      </rPr>
      <t xml:space="preserve">
</t>
    </r>
  </si>
  <si>
    <t xml:space="preserve">Tasty Brands - # 00830WG or equal to </t>
  </si>
  <si>
    <t xml:space="preserve">CN: 1-2.27 oz srv= 1 M/MA, 1 GRAIN         </t>
  </si>
  <si>
    <t>MEAT,  CHEESE SAUCE CHEDDAR</t>
  </si>
  <si>
    <r>
      <rPr>
        <sz val="9"/>
        <color theme="1"/>
        <rFont val="Arial"/>
      </rPr>
      <t xml:space="preserve">JTM reduced fat cheese sauce  </t>
    </r>
    <r>
      <rPr>
        <b/>
        <sz val="9"/>
        <color theme="1"/>
        <rFont val="Arial"/>
      </rPr>
      <t>252</t>
    </r>
    <r>
      <rPr>
        <sz val="9"/>
        <color theme="1"/>
        <rFont val="Arial"/>
      </rPr>
      <t>-</t>
    </r>
    <r>
      <rPr>
        <b/>
        <sz val="9"/>
        <color theme="1"/>
        <rFont val="Arial"/>
      </rPr>
      <t xml:space="preserve">1.90oz = 1oz M/MA                                                          </t>
    </r>
  </si>
  <si>
    <t>6/5# bags</t>
  </si>
  <si>
    <t>JTM # 5705</t>
  </si>
  <si>
    <t>PER OZ</t>
  </si>
  <si>
    <t>MEAT, CHS SAUCE, GOLDEN QUESO</t>
  </si>
  <si>
    <t xml:space="preserve">JTM Premium Golden Hatch Chili Queso                                                                                 </t>
  </si>
  <si>
    <t>6/5# BAGS</t>
  </si>
  <si>
    <t>JTM # 5731</t>
  </si>
  <si>
    <t xml:space="preserve">30lbs = 240-2oz srv /2oz = 1M/MA                                         </t>
  </si>
  <si>
    <t>MEAT, CHEESE SAUCE, ITALIAN</t>
  </si>
  <si>
    <r>
      <rPr>
        <sz val="9"/>
        <color theme="1"/>
        <rFont val="Arial"/>
      </rPr>
      <t xml:space="preserve">Italian cheese sauce               </t>
    </r>
    <r>
      <rPr>
        <b/>
        <sz val="9"/>
        <color theme="1"/>
        <rFont val="Arial"/>
      </rPr>
      <t xml:space="preserve">   3oz serv=1M/MA    </t>
    </r>
    <r>
      <rPr>
        <sz val="9"/>
        <color theme="1"/>
        <rFont val="Arial"/>
      </rPr>
      <t xml:space="preserve">                                                                    </t>
    </r>
  </si>
  <si>
    <t>6/106oz</t>
  </si>
  <si>
    <t>Land o Lake  - 39944 or Equal To</t>
  </si>
  <si>
    <t>MEAT, CHEESE SAUCE, JALAPENO</t>
  </si>
  <si>
    <r>
      <rPr>
        <sz val="9"/>
        <color theme="1"/>
        <rFont val="Arial"/>
      </rPr>
      <t xml:space="preserve">JTM Jalapeno flavored cheese sauce   </t>
    </r>
    <r>
      <rPr>
        <b/>
        <sz val="9"/>
        <color theme="1"/>
        <rFont val="Arial"/>
      </rPr>
      <t xml:space="preserve">2oz= 1 M/MA                                                                </t>
    </r>
  </si>
  <si>
    <t xml:space="preserve">JTM # 5708 </t>
  </si>
  <si>
    <t>MEAT, CHEESE SAUCE, QUESO BLANCO</t>
  </si>
  <si>
    <r>
      <rPr>
        <sz val="9"/>
        <color theme="1"/>
        <rFont val="Arial"/>
      </rPr>
      <t xml:space="preserve">JTM Queso Blanco cheese sauce        </t>
    </r>
    <r>
      <rPr>
        <b/>
        <sz val="9"/>
        <color theme="1"/>
        <rFont val="Arial"/>
      </rPr>
      <t xml:space="preserve">2oz = 1M/MA                                                                 </t>
    </r>
  </si>
  <si>
    <t>JTM #5718</t>
  </si>
  <si>
    <t>MEAT, CHEESE SLICES AMERICAN</t>
  </si>
  <si>
    <t>MEAT, CHEESE SLICES CHEDDAR</t>
  </si>
  <si>
    <r>
      <rPr>
        <sz val="9"/>
        <color theme="1"/>
        <rFont val="Arial"/>
      </rPr>
      <t xml:space="preserve">Natural blended Cheddar slices  640- </t>
    </r>
    <r>
      <rPr>
        <b/>
        <sz val="9"/>
        <color theme="1"/>
        <rFont val="Arial"/>
      </rPr>
      <t xml:space="preserve">1 slice = .5 M/MA   </t>
    </r>
    <r>
      <rPr>
        <sz val="9"/>
        <color theme="1"/>
        <rFont val="Arial"/>
      </rPr>
      <t xml:space="preserve">                                                          </t>
    </r>
  </si>
  <si>
    <t>4/5# LVS</t>
  </si>
  <si>
    <t>BONGARDS - 104411 or Equal To</t>
  </si>
  <si>
    <t>MEAT, CHEESE SLICES PEP. JACK</t>
  </si>
  <si>
    <r>
      <rPr>
        <sz val="9"/>
        <color theme="1"/>
        <rFont val="Arial"/>
      </rPr>
      <t xml:space="preserve">Natural blended Pepper Jack process American  640slices  </t>
    </r>
    <r>
      <rPr>
        <b/>
        <sz val="9"/>
        <color theme="1"/>
        <rFont val="Arial"/>
      </rPr>
      <t xml:space="preserve">1 slice = .5 M/MA   </t>
    </r>
  </si>
  <si>
    <t>BONGARDS - 104441 or Equal To</t>
  </si>
  <si>
    <t>MEAT, CHEESE SLICES PROVALONE</t>
  </si>
  <si>
    <r>
      <rPr>
        <sz val="9"/>
        <color theme="1"/>
        <rFont val="Arial"/>
      </rPr>
      <t>Natural blended Provolone Slice 640-</t>
    </r>
    <r>
      <rPr>
        <b/>
        <sz val="9"/>
        <color theme="1"/>
        <rFont val="Arial"/>
      </rPr>
      <t xml:space="preserve">1 slice - .5 M/MA                            </t>
    </r>
  </si>
  <si>
    <t>BONGARDS - 104461 or Equal To</t>
  </si>
  <si>
    <t>MEAT, CHEESE SLICES SWISS</t>
  </si>
  <si>
    <r>
      <rPr>
        <sz val="9"/>
        <color theme="1"/>
        <rFont val="Arial"/>
      </rPr>
      <t>Natuary blended Swiss slices 640</t>
    </r>
    <r>
      <rPr>
        <b/>
        <sz val="9"/>
        <color theme="1"/>
        <rFont val="Arial"/>
      </rPr>
      <t xml:space="preserve">slice = .5 M/MA                                                                </t>
    </r>
  </si>
  <si>
    <t>BONGARDS -104431 or Equal To</t>
  </si>
  <si>
    <t xml:space="preserve">MEAT, CHEESE SHRED MONTEREY </t>
  </si>
  <si>
    <t xml:space="preserve">Monterey Jack and Cheddar Fancy Shred  1/2 OZ= 1/2OZ                                                   </t>
  </si>
  <si>
    <t xml:space="preserve"> 4/5# BAGS</t>
  </si>
  <si>
    <t>BONGARDS - 771021 or Equal To</t>
  </si>
  <si>
    <t>MEAT, CHEESE SHRED MOZZARELLA</t>
  </si>
  <si>
    <t xml:space="preserve">LMPS Mozzarella Feather Shred 1/2 OZ= 1/2OZ                                                            </t>
  </si>
  <si>
    <t>BONGARDS - 755071 or Equal To</t>
  </si>
  <si>
    <t>MEAT, CHEESE STICK COLBY JACK</t>
  </si>
  <si>
    <r>
      <rPr>
        <sz val="9"/>
        <color theme="1"/>
        <rFont val="Arial"/>
      </rPr>
      <t xml:space="preserve">Colby Jack Marbled Stick Natural 1stick = 1oz                                                                             </t>
    </r>
    <r>
      <rPr>
        <b/>
        <sz val="9"/>
        <color theme="1"/>
        <rFont val="Arial"/>
      </rPr>
      <t>PACK: 168/1OZ</t>
    </r>
  </si>
  <si>
    <t xml:space="preserve"> 168/1OZ</t>
  </si>
  <si>
    <t>BONGARDS - 402931 or Equal To</t>
  </si>
  <si>
    <t>MEAT, CHEESE STICK STRING</t>
  </si>
  <si>
    <r>
      <rPr>
        <sz val="9"/>
        <color theme="1"/>
        <rFont val="Arial"/>
      </rPr>
      <t xml:space="preserve">String Cheese Natural Mozzarella 1stick = 1oz                                                                            </t>
    </r>
    <r>
      <rPr>
        <b/>
        <sz val="9"/>
        <color theme="1"/>
        <rFont val="Arial"/>
      </rPr>
      <t>PACK: 168/1OZ</t>
    </r>
  </si>
  <si>
    <t>168/1OZ</t>
  </si>
  <si>
    <t>BONGARDS - 402951 or Equal To</t>
  </si>
  <si>
    <t>MEAT, CHICKEN, BREAST FILLET</t>
  </si>
  <si>
    <r>
      <rPr>
        <sz val="9"/>
        <color theme="1"/>
        <rFont val="Arial"/>
      </rPr>
      <t xml:space="preserve">FC, Grilled Chicken Breast Fillet w/grill Marks </t>
    </r>
    <r>
      <rPr>
        <b/>
        <sz val="9"/>
        <color theme="1"/>
        <rFont val="Arial"/>
      </rPr>
      <t xml:space="preserve"> 54/3oz PC 1 SRV=2z M/MA</t>
    </r>
  </si>
  <si>
    <t>Tyson 38350-928</t>
  </si>
  <si>
    <t xml:space="preserve">100% Domestically grown and processed                          </t>
  </si>
  <si>
    <t>MEAT, CHICKEN, DICED</t>
  </si>
  <si>
    <t xml:space="preserve">Oven roasted fully cooked 1/2"diced, marinated, whole muscle chicken. Natural </t>
  </si>
  <si>
    <t>Pilgrims Pride 1230</t>
  </si>
  <si>
    <r>
      <rPr>
        <sz val="9"/>
        <color theme="1"/>
        <rFont val="Arial"/>
      </rPr>
      <t xml:space="preserve">portions white and dark meat.  IQF 100% Domestically grown and processed                                                 </t>
    </r>
    <r>
      <rPr>
        <b/>
        <sz val="9"/>
        <color theme="1"/>
        <rFont val="Arial"/>
      </rPr>
      <t xml:space="preserve">   </t>
    </r>
  </si>
  <si>
    <t>Goldkist/Pilgrims Pride</t>
  </si>
  <si>
    <t>MEAT, CHICKEN, CORNDOG  L.FAT.</t>
  </si>
  <si>
    <t>Chicken Frankfurter,no fillers, binders, extenders, or non-fat milk,  2 M/MA - 2 G</t>
  </si>
  <si>
    <t>72/4 OZ</t>
  </si>
  <si>
    <t>Foster Farms 95150 or Equal To</t>
  </si>
  <si>
    <r>
      <rPr>
        <sz val="9"/>
        <color theme="1"/>
        <rFont val="Arial"/>
      </rPr>
      <t xml:space="preserve">100% whole grain, honey batter, fully cooked.  </t>
    </r>
    <r>
      <rPr>
        <b/>
        <sz val="9"/>
        <color theme="1"/>
        <rFont val="Arial"/>
      </rPr>
      <t xml:space="preserve">                                                                             </t>
    </r>
  </si>
  <si>
    <t xml:space="preserve">MEAT, CHICKEN, FAJITA </t>
  </si>
  <si>
    <t>FC, Seasoned Grilled, boneless, skinless dark meat chicken strips.      2 M/MA</t>
  </si>
  <si>
    <t>6-5# BAGS</t>
  </si>
  <si>
    <t>Tyson 004621-0928</t>
  </si>
  <si>
    <r>
      <rPr>
        <sz val="9"/>
        <color theme="1"/>
        <rFont val="Arial"/>
      </rPr>
      <t xml:space="preserve">100% Domestically grown and processed  </t>
    </r>
    <r>
      <rPr>
        <b/>
        <sz val="9"/>
        <color theme="1"/>
        <rFont val="Arial"/>
      </rPr>
      <t>160 srv./3 oz per srv</t>
    </r>
  </si>
  <si>
    <t>MEAT, CHICKEN, NUGGETS</t>
  </si>
  <si>
    <t>CN WG Homestyle breaded chicken nuggets (5pc) srv=2M/MA- 1 Grain</t>
  </si>
  <si>
    <t xml:space="preserve">30# </t>
  </si>
  <si>
    <t>Gold Kist- 615300</t>
  </si>
  <si>
    <t>5@=156srv-.608 oz pcs</t>
  </si>
  <si>
    <t>per taste testing</t>
  </si>
  <si>
    <t>MEAT, CHICKEN, PATTY</t>
  </si>
  <si>
    <t>FC, CN, WG Golden Crispy Chicken Patty  Fritters                2 M/Ma-1 Grain</t>
  </si>
  <si>
    <t>32.82#</t>
  </si>
  <si>
    <t>Tyson 70304-928</t>
  </si>
  <si>
    <r>
      <rPr>
        <sz val="9"/>
        <color theme="1"/>
        <rFont val="Arial"/>
      </rPr>
      <t xml:space="preserve">100% Domestically grown and processed         </t>
    </r>
    <r>
      <rPr>
        <b/>
        <sz val="9"/>
        <color theme="1"/>
        <rFont val="Arial"/>
      </rPr>
      <t>(148/3.54 oz patty)</t>
    </r>
  </si>
  <si>
    <t>MEAT, CHICKEN, POPCORN</t>
  </si>
  <si>
    <r>
      <rPr>
        <sz val="9"/>
        <color theme="1"/>
        <rFont val="Arial"/>
      </rPr>
      <t xml:space="preserve">FC, CN, WG Golden Crispy Popcorn Chicken, white &amp; dark meat formed </t>
    </r>
    <r>
      <rPr>
        <b/>
        <i/>
        <sz val="9"/>
        <color theme="1"/>
        <rFont val="Arial"/>
      </rPr>
      <t>2M-1G</t>
    </r>
  </si>
  <si>
    <t>32.79#-4bgs</t>
  </si>
  <si>
    <t>Tyson 70368-928</t>
  </si>
  <si>
    <r>
      <rPr>
        <sz val="9"/>
        <color theme="1"/>
        <rFont val="Arial"/>
      </rPr>
      <t xml:space="preserve">100% Domestically grown and processed  </t>
    </r>
    <r>
      <rPr>
        <b/>
        <sz val="9"/>
        <color theme="1"/>
        <rFont val="Arial"/>
      </rPr>
      <t>1860/12each=155-.28ze</t>
    </r>
  </si>
  <si>
    <t>MEAT, CHICKEN, TENDERS WHOLE MUSCLE</t>
  </si>
  <si>
    <r>
      <rPr>
        <sz val="9"/>
        <color theme="1"/>
        <rFont val="Arial"/>
      </rPr>
      <t xml:space="preserve">FC, CN, WG Golden Crispy made with whole muscle tenderloins </t>
    </r>
    <r>
      <rPr>
        <b/>
        <i/>
        <sz val="9"/>
        <color theme="1"/>
        <rFont val="Arial"/>
      </rPr>
      <t>2M/1G</t>
    </r>
  </si>
  <si>
    <t xml:space="preserve">30.99# </t>
  </si>
  <si>
    <t>Tyson 70332-928</t>
  </si>
  <si>
    <r>
      <rPr>
        <sz val="9"/>
        <color theme="1"/>
        <rFont val="Arial"/>
      </rPr>
      <t xml:space="preserve">100% Domestically grown and processed </t>
    </r>
    <r>
      <rPr>
        <b/>
        <sz val="9"/>
        <color theme="1"/>
        <rFont val="Arial"/>
      </rPr>
      <t>352/3@=117.3srv-1.41z pc</t>
    </r>
  </si>
  <si>
    <t>MEAT, CHICKEN, YANGS BBQ</t>
  </si>
  <si>
    <t xml:space="preserve">BBQ TERIYAKI CHICKEN - Slow bbq chicken paired with a teriyaki sauce </t>
  </si>
  <si>
    <t>6/5#</t>
  </si>
  <si>
    <t>YANGS - 15554</t>
  </si>
  <si>
    <t>240-2.8oz servings</t>
  </si>
  <si>
    <t>MEAT, CHICKEN, YANG LEMON</t>
  </si>
  <si>
    <t>Fully cooked, crispy chicken, glazed with a tangy Lemongrass Sauce</t>
  </si>
  <si>
    <t>YANGS- 15553</t>
  </si>
  <si>
    <t>CN: EACH 3.6OZ= 2 M/MA                        192/3.6OZ SRV</t>
  </si>
  <si>
    <t>MEAT, CHICKEN, YANGS MANDARIN</t>
  </si>
  <si>
    <t>MANDARIN ORANGE CHICKEN - Crisp juicy chicken glazed with orange sauce</t>
  </si>
  <si>
    <t xml:space="preserve"> 6/5#</t>
  </si>
  <si>
    <t>YANGS -  15555</t>
  </si>
  <si>
    <t>192-3.6oz srv</t>
  </si>
  <si>
    <t>MEAT, CHICKEN, YANGS TSO'S</t>
  </si>
  <si>
    <t>GENERAL TSO'S CHICKEN - Crisp juicy chicken paired with sweet sauce with</t>
  </si>
  <si>
    <t>YANGS - 15563</t>
  </si>
  <si>
    <r>
      <rPr>
        <sz val="9"/>
        <color theme="1"/>
        <rFont val="Arial"/>
      </rPr>
      <t xml:space="preserve"> just a hint of heat.                                              </t>
    </r>
    <r>
      <rPr>
        <b/>
        <sz val="9"/>
        <color theme="1"/>
        <rFont val="Arial"/>
      </rPr>
      <t xml:space="preserve"> 192-3.6oz srv</t>
    </r>
  </si>
  <si>
    <t>MEAT, CHICKEN, AFS, JAPANESE CHERRY BLSM</t>
  </si>
  <si>
    <t xml:space="preserve">Japanese Cherry Blossom </t>
  </si>
  <si>
    <t>ASIAN FOOD SOLUTIONS 72005</t>
  </si>
  <si>
    <t>CN:1-3.9oz srv = 2M/MA- 1/2 Grain                           176-3.9oz</t>
  </si>
  <si>
    <t xml:space="preserve"> </t>
  </si>
  <si>
    <t>MEAT, EGG HARDCOOKED PEELED</t>
  </si>
  <si>
    <t xml:space="preserve">Eggs Cooked Peeled </t>
  </si>
  <si>
    <t>8/18CT pack</t>
  </si>
  <si>
    <t>SUNNY FRESH # 50038</t>
  </si>
  <si>
    <t xml:space="preserve">CN: 1 egg= 1.75oz M/MA                                                     </t>
  </si>
  <si>
    <t>MEAT, EGG, EGGSTRAVAGANZA</t>
  </si>
  <si>
    <t xml:space="preserve">Pre-cooked Frozen Scramble Eggs, with fully cooked bacon and pasteurized </t>
  </si>
  <si>
    <t xml:space="preserve">20# - 4/5lb </t>
  </si>
  <si>
    <t>SUNNY - 40928</t>
  </si>
  <si>
    <t xml:space="preserve">process sharp cheddar cheese.  CN labeled.  Quick frozen for freshness and </t>
  </si>
  <si>
    <t xml:space="preserve">packaged in convenient 5lb. Bags.  Each 2 oz serving provides 1.75 oz M/MA.  </t>
  </si>
  <si>
    <t>MEAT, EGGS, FRESH</t>
  </si>
  <si>
    <t xml:space="preserve">EGGS *CTN* MEDIUM GRADE A                                                                                            </t>
  </si>
  <si>
    <t>15 DOZEN</t>
  </si>
  <si>
    <t>DISTRIBUTORS CHOICE -
PEARL VALLEY # 7310</t>
  </si>
  <si>
    <t>PER DZN</t>
  </si>
  <si>
    <t>MEAT, EGG, OMELET COLBY CHEESE</t>
  </si>
  <si>
    <t>Pre-cooked Frozen Colby Cheese Skillet Omelets. CN labeled.            2 M/MA</t>
  </si>
  <si>
    <t>29.53#</t>
  </si>
  <si>
    <t>SUNNY - 40176</t>
  </si>
  <si>
    <r>
      <rPr>
        <sz val="9"/>
        <color theme="1"/>
        <rFont val="Arial"/>
      </rPr>
      <t xml:space="preserve"> Omelet is sized to 2.1 oz portion.   </t>
    </r>
    <r>
      <rPr>
        <b/>
        <sz val="9"/>
        <color theme="1"/>
        <rFont val="Arial"/>
      </rPr>
      <t>225/2.1 OZ serv</t>
    </r>
  </si>
  <si>
    <t>MEAT, EGG, OMELET FIESTA CHEESE</t>
  </si>
  <si>
    <t xml:space="preserve">Frozen omelet filled with a delicious cheese, including Mozzarella and zesty </t>
  </si>
  <si>
    <t>210/2.2oz</t>
  </si>
  <si>
    <t>SUNNY - 40187</t>
  </si>
  <si>
    <r>
      <rPr>
        <sz val="9"/>
        <color theme="1"/>
        <rFont val="Arial"/>
      </rPr>
      <t>pepper jack Omelet</t>
    </r>
    <r>
      <rPr>
        <b/>
        <sz val="9"/>
        <color theme="1"/>
        <rFont val="Arial"/>
      </rPr>
      <t xml:space="preserve"> 2.2oz=2M/MA                                           </t>
    </r>
  </si>
  <si>
    <t>MEAT, EGG, PATTIE SCRAMBLED</t>
  </si>
  <si>
    <t xml:space="preserve">Pre-cooked Frozen Scrambled Egg Pattie. CN labeled. Fully cooked patties made </t>
  </si>
  <si>
    <t>369/1oz</t>
  </si>
  <si>
    <t>SUNNY - 40710</t>
  </si>
  <si>
    <t xml:space="preserve">w/pasteurized eggs, steam cooked, IQF.    CN labeled 1 oz M/MA </t>
  </si>
  <si>
    <t>MEAT, MEXICAN, TACO SNACK</t>
  </si>
  <si>
    <t xml:space="preserve">Beef cheese taco snack w/o TVP     CN 2M/MA, 2G               </t>
  </si>
  <si>
    <t>48/4.75oz</t>
  </si>
  <si>
    <t>LOS CABOS - 63460 OR EQUAL TO</t>
  </si>
  <si>
    <t>MEAT, MEXICAN, PEPPER JACK</t>
  </si>
  <si>
    <t xml:space="preserve">Enchiladas Pepper Jack 6"        CN:1M/MS, 1G </t>
  </si>
  <si>
    <t>144/2oz</t>
  </si>
  <si>
    <t>LOS CABOS - 64150 OR EQUAL TO</t>
  </si>
  <si>
    <t>MEAT, MEXICAN, MAX SNACKS, TACO</t>
  </si>
  <si>
    <r>
      <rPr>
        <b/>
        <sz val="9"/>
        <color theme="1"/>
        <rFont val="Arial"/>
      </rPr>
      <t xml:space="preserve">TOTALLY TACO, WG   </t>
    </r>
    <r>
      <rPr>
        <sz val="9"/>
        <color theme="1"/>
        <rFont val="Arial"/>
      </rPr>
      <t>CN 2</t>
    </r>
    <r>
      <rPr>
        <b/>
        <sz val="9"/>
        <color theme="1"/>
        <rFont val="Arial"/>
      </rPr>
      <t xml:space="preserve"> </t>
    </r>
    <r>
      <rPr>
        <sz val="9"/>
        <color theme="1"/>
        <rFont val="Arial"/>
      </rPr>
      <t xml:space="preserve">M/MA-1.75 GRAINS  </t>
    </r>
    <r>
      <rPr>
        <b/>
        <sz val="9"/>
        <color theme="1"/>
        <rFont val="Arial"/>
      </rPr>
      <t xml:space="preserve">          </t>
    </r>
  </si>
  <si>
    <t>96/srv-3=4.09z</t>
  </si>
  <si>
    <t>CONAGRA - 77387-12714 or Equal To</t>
  </si>
  <si>
    <t>MEAT, MEXICAN, TACO CHICKEN</t>
  </si>
  <si>
    <t>Soft tacos-chicken soft taco with red sauce.</t>
  </si>
  <si>
    <t>45/5.12 OZ</t>
  </si>
  <si>
    <t>RUIZ FOODS 41468 or Equal To</t>
  </si>
  <si>
    <t xml:space="preserve">Each 5.12 oz taco = 2M/MA and 2 Grain     </t>
  </si>
  <si>
    <t>MEAT, NUT, SUNFLOWER SEEDS</t>
  </si>
  <si>
    <r>
      <rPr>
        <sz val="9"/>
        <color rgb="FF000000"/>
        <rFont val="Arial"/>
      </rPr>
      <t xml:space="preserve">Sunflower Seeds Honey Roasted      </t>
    </r>
    <r>
      <rPr>
        <b/>
        <sz val="9"/>
        <color rgb="FF000000"/>
        <rFont val="Arial"/>
      </rPr>
      <t>CN: 1/1oz pack = 1M/MA</t>
    </r>
    <r>
      <rPr>
        <sz val="9"/>
        <color rgb="FF000000"/>
        <rFont val="Arial"/>
      </rPr>
      <t xml:space="preserve">        </t>
    </r>
  </si>
  <si>
    <t xml:space="preserve">150/1oz  </t>
  </si>
  <si>
    <t xml:space="preserve">AZAR # 7220210 OR EQUAL TO </t>
  </si>
  <si>
    <r>
      <rPr>
        <sz val="9"/>
        <color rgb="FF000000"/>
        <rFont val="Arial"/>
      </rPr>
      <t xml:space="preserve">Sunflower Seeds Roasted Salted        </t>
    </r>
    <r>
      <rPr>
        <b/>
        <sz val="9"/>
        <color rgb="FF000000"/>
        <rFont val="Arial"/>
      </rPr>
      <t>CN: 1/1oz pack = 1M/MA</t>
    </r>
    <r>
      <rPr>
        <sz val="9"/>
        <color rgb="FF000000"/>
        <rFont val="Arial"/>
      </rPr>
      <t xml:space="preserve">    </t>
    </r>
  </si>
  <si>
    <t>150/1oz</t>
  </si>
  <si>
    <t>AZAR # 7220010 OR EQUAL TO</t>
  </si>
  <si>
    <t>MEAT, PIZZA, BREAKFAST, BACON</t>
  </si>
  <si>
    <t>One 3.00oz. Whole Wheat Bacon Scramble Provides 1.00oz. Equivalent Meat Alternate and 1.50oz. Equivalent Grains for the Child Nutrition Meal Pattern Requirements.</t>
  </si>
  <si>
    <t>80/2.85oz</t>
  </si>
  <si>
    <t>NARDONE BROS # 80WBCA1</t>
  </si>
  <si>
    <t xml:space="preserve">Each 3oz srv.provides 1M/MA, 1.5 Grain                                                                   </t>
  </si>
  <si>
    <t>MEAT, PIZZA, BREAKFAST, SAUSAGE</t>
  </si>
  <si>
    <t>088606 – One 3.30oz. 3×5 Whole Wheat Sausage Breakfast Pizza Provides 1.00oz. Equivalent Meat/Meat Alternate, 1.50oz. Equivalent Grains, and 1/8 Cup Red/Orange Vegetable for the Child Nutrition Meal Pattern Requirements.</t>
  </si>
  <si>
    <t>80/3.2oz</t>
  </si>
  <si>
    <t>NARDONE BROS # 80WS100</t>
  </si>
  <si>
    <t xml:space="preserve">Each 3.3 oz serv. Must provide 1M/MA, 1.5Grain      </t>
  </si>
  <si>
    <t>MEAT, PIZZA, BAGEL</t>
  </si>
  <si>
    <t>WW Brk pizza bagel 100% mozz. sausage, bacon and egg</t>
  </si>
  <si>
    <t>96/3.22oz</t>
  </si>
  <si>
    <t>NARDONE BROS # 96WBR</t>
  </si>
  <si>
    <t xml:space="preserve">Each 3.22 oz = 1M/MA, 2 GRAIN                                          </t>
  </si>
  <si>
    <t>MEAT, PIZZA, PEPPORONI CALZONE</t>
  </si>
  <si>
    <t xml:space="preserve">Pepperoni and cheese calzone                            </t>
  </si>
  <si>
    <t>80/5 OZ</t>
  </si>
  <si>
    <t>S&amp;F Foods 211BC</t>
  </si>
  <si>
    <t>MEAT, PIZZA QUESADILLA</t>
  </si>
  <si>
    <t>Pizza Quesadilla, Chicken, WG, a blend of two cheeses, fajita chicken, and salsa.</t>
  </si>
  <si>
    <t>96/5oz</t>
  </si>
  <si>
    <t>THE MAX #77387-12700</t>
  </si>
  <si>
    <t xml:space="preserve">1 Quesadilla=2G, 2M/MA, 1/8 veg. 51%WG             </t>
  </si>
  <si>
    <t>MEAT, CHEESE BITES BULK</t>
  </si>
  <si>
    <t>Wild Mike's premium quality cheese bites (11003)  are fresh baked with 51% whole grain rich flour and filled with tasty mozzarella cheese the kids are sure to love.</t>
  </si>
  <si>
    <t>240/1OZ</t>
  </si>
  <si>
    <t>S&amp;A PIZZA- WILD MIKE'S # 11003 or Equal to</t>
  </si>
  <si>
    <t xml:space="preserve">Each cheese bite= .5 M/MA and .5 Grain </t>
  </si>
  <si>
    <t>OR 60srv of 4</t>
  </si>
  <si>
    <t>MEAT, PIZZA, 5" ROUND, CHEESE</t>
  </si>
  <si>
    <t>084357 – One 5.35oz. 5″ Round Whole Wheat Cheese Pizza Provides 2.00oz Equivalent Meat Alternate, 2.00oz. Equivalent Grains, and 1/8 Cup Red/Orange Vegetable for the Child Nutrition Meal Pattern Requirements.</t>
  </si>
  <si>
    <t>60/5.35oz</t>
  </si>
  <si>
    <t>NARDONE BROS # 5WRMNY2</t>
  </si>
  <si>
    <t xml:space="preserve">Each 5" pizza. Must provide 2M/MA, 2Grain, 1/8 red/orange    </t>
  </si>
  <si>
    <t>MEAT, PIZZA, 5" ROUND, PEPPERONI</t>
  </si>
  <si>
    <t>084359 – One 5.40oz. 5″ Round Whole Wheat Pepperoni Pizza Provides 2.00oz Equivalent Meat/Meat Alternate, 2.00oz. Equivalent Grains, and 1/8 Cup Red/Orange Vegetable for the Child Nutrition Meal Pattern Requirements.</t>
  </si>
  <si>
    <t>60/5.4oz</t>
  </si>
  <si>
    <t>NARDONE BROS # 5WRMP1NY2</t>
  </si>
  <si>
    <t xml:space="preserve">Each 5" pizza. Must provide 2M/MA, 2Grain, 1/8 red/orange </t>
  </si>
  <si>
    <t>MEAT, PIZZA, BUFFALO CHICKEN</t>
  </si>
  <si>
    <t xml:space="preserve">092953 – One 4.35oz. 4×6 Whole Wheat Buffalo Chicken Flatbread Provides 2.00oz. Equivalent Meat/Meat Alternate and 2.00oz. Equivalent Grains for the Child Nutrition Meal Pattern Requirements.                                                                                                                                  </t>
  </si>
  <si>
    <t>64/4.6oz</t>
  </si>
  <si>
    <t>NARDONE BROS # 64WPSBC</t>
  </si>
  <si>
    <t xml:space="preserve">CASE </t>
  </si>
  <si>
    <t>MEAT, PIZZA,WG 4X6 CHEESE</t>
  </si>
  <si>
    <t>One 5.00oz. 4×6 Whole Wheat Cheese Pizza Provides 2.00oz. Equivalent Meat Alternate, 2.00oz. Equivalent Grains, and 1/8 Cup Red/Orange Vegetable for the Child Nutrition Meal Pattern Requirements.</t>
  </si>
  <si>
    <t>NARDONE BROS # 96WW2 4X6</t>
  </si>
  <si>
    <t xml:space="preserve">Each 5oz =2M/MA, 2Grain, 1/8c.Red/Orange veg.     </t>
  </si>
  <si>
    <t>96/5Z</t>
  </si>
  <si>
    <t>MEAT, PIZZA, WG 4X6 PEPPERONI</t>
  </si>
  <si>
    <t>088114 – One 5.00oz. 4×6 Whole Wheat Pepperoni Pizza Provides 2.00oz. Equivalent Meat/Meat Alternate, 2.00oz. Equivalent Grains, and 1/8 Cup Red/Orange Vegetable for the Child Nutrition Meal Pattern Requirements.</t>
  </si>
  <si>
    <t>NARDONE BROS # 96WWP2 4X6</t>
  </si>
  <si>
    <t xml:space="preserve">Each 5oz serv= 2M/MA, 2Grain, 1/8c.Red/Orange veg.  </t>
  </si>
  <si>
    <t>MEAT, PIZZA, WG 4X6 SAUSAGE</t>
  </si>
  <si>
    <t>088598 – One 5.00oz. 4×6 Whole Wheat Sausage Pizza Provides 2.00oz. Equivalent Meat/Meat Alternate, 2.00oz. Equivalent Grains, and 1/8 Cup Red/Orange Vegetable for the Child Nutrition Meal Pattern Requirements.</t>
  </si>
  <si>
    <t>NARDONE BROS # 96WWS2 4X6</t>
  </si>
  <si>
    <t xml:space="preserve">Each 5 oz serv= 2M/MA, 2Grain, 1/8c.Red/Orange veg.   </t>
  </si>
  <si>
    <t>MEAT, PIZZA, FRENCH BRD PEP</t>
  </si>
  <si>
    <t>088267 – One 5.50oz. Whole Wheat French Bread Pepperoni Pizza Provides 2.00oz. Equivalent Meat/Meat Alternate, 2.00oz. Equivalent Grains, and 1/4 Cup Red/Orange Vegetable for the Child Nutrition Meal Pattern Requirements.</t>
  </si>
  <si>
    <t>60/5.5z</t>
  </si>
  <si>
    <t>NARDONE BROS # 60WUMP2</t>
  </si>
  <si>
    <t xml:space="preserve">Each 5.5 oz serv= 2M/MA, 2Grain, 1/4c.Red/Orange veg. </t>
  </si>
  <si>
    <t>MEAT, PORK, BACON</t>
  </si>
  <si>
    <t xml:space="preserve">Bacon HRI slice  18/22            </t>
  </si>
  <si>
    <t>15# CS</t>
  </si>
  <si>
    <t>Farmland - 123900</t>
  </si>
  <si>
    <t>MEAT, PORK HAM SLICED, LS</t>
  </si>
  <si>
    <t>Healthy Ones- Smoked Sliced L/Sodium VIRGINIA BRAND HAM</t>
  </si>
  <si>
    <t>6/2# PACKS</t>
  </si>
  <si>
    <t xml:space="preserve">ARMOUR-ECKRICH/HEALTHY - </t>
  </si>
  <si>
    <r>
      <rPr>
        <b/>
        <sz val="9"/>
        <color theme="1"/>
        <rFont val="Arial"/>
      </rPr>
      <t xml:space="preserve">Needing CN Label         </t>
    </r>
    <r>
      <rPr>
        <sz val="9"/>
        <color theme="1"/>
        <rFont val="Arial"/>
      </rPr>
      <t xml:space="preserve">                                    </t>
    </r>
  </si>
  <si>
    <t>30900-32588 or Equal To</t>
  </si>
  <si>
    <t>MEAT, PORK RIB PATTY</t>
  </si>
  <si>
    <t>Fully cooked, boneless, chopped pork rib pattie. Glazed with a generous
amount of honey barbeque sauce. Firm, meaty bite. Soy added. Thick, naturally rounded
ribs with char highlights. CN labeled.</t>
  </si>
  <si>
    <t>100/3.2oz</t>
  </si>
  <si>
    <t>ADVANCE PIERRE # 3817</t>
  </si>
  <si>
    <t xml:space="preserve">1-3.2oz Patty=2M/MA                              </t>
  </si>
  <si>
    <t>MEAR, PORK RIBLET, HONEY</t>
  </si>
  <si>
    <t>Fully cooked, boneless, chopped mini pork rib pattie. Glazed with a moderate
amount of slightly sweet, honey barbeque sauce. Soy added. Thick, mini rib shape with
char highlights.CN labeled.</t>
  </si>
  <si>
    <t xml:space="preserve">20# </t>
  </si>
  <si>
    <t>ADVANCE PIERRE # 3822</t>
  </si>
  <si>
    <r>
      <rPr>
        <sz val="9"/>
        <color theme="1"/>
        <rFont val="Arial"/>
      </rPr>
      <t xml:space="preserve">3-.9oz srv = 2 M/MA     </t>
    </r>
    <r>
      <rPr>
        <b/>
        <sz val="9"/>
        <color theme="1"/>
        <rFont val="Arial"/>
      </rPr>
      <t>CS=400-.9Z PCS=133.33 SRV OF 3</t>
    </r>
  </si>
  <si>
    <t>MEAT, PORK, SAUSAGE CRUMBLES</t>
  </si>
  <si>
    <t xml:space="preserve">Pre-cooked pork sausage crumbles for breakfast gravy, </t>
  </si>
  <si>
    <t>Burke- 55716 0115 or Equal To</t>
  </si>
  <si>
    <t>per lb</t>
  </si>
  <si>
    <t>MEAT, PORK, SAUSAGE LINK</t>
  </si>
  <si>
    <t>All Natural, Low Sodium 1oz pork sausage link.</t>
  </si>
  <si>
    <t>10#=160/1 OZ</t>
  </si>
  <si>
    <t>JONES-018514 or Equal To</t>
  </si>
  <si>
    <t>MEAT, PORK, SAUSAGE PATTY</t>
  </si>
  <si>
    <t>All Natural, Low Sodium 1oz pork sausage patty</t>
  </si>
  <si>
    <t>JONES-018715 or Equal To</t>
  </si>
  <si>
    <t>MEAT, PORK, SNACK STICKS</t>
  </si>
  <si>
    <t>Westerns Smokehouse smart choice snack sticks- 1Snack Stick=.75M/MA</t>
  </si>
  <si>
    <t>Western's or Equal To</t>
  </si>
  <si>
    <t xml:space="preserve">Box 24 </t>
  </si>
  <si>
    <t>Original #</t>
  </si>
  <si>
    <t>BOX</t>
  </si>
  <si>
    <t>BBQ # 824906 00002-9</t>
  </si>
  <si>
    <t>Jalapeno # 824906 00003-8</t>
  </si>
  <si>
    <t>Hickory Smoked # 824906 00004-7</t>
  </si>
  <si>
    <t>Sweet &amp; Sassy # 824906 00005-6</t>
  </si>
  <si>
    <t>MEAT, SEAFOOD, FISH FILLET</t>
  </si>
  <si>
    <t>AK POLLOCK,WG, OVEN READY, PRE-COOKED FISH RECTANGLE</t>
  </si>
  <si>
    <t>10# -44/3.6oz</t>
  </si>
  <si>
    <t>HIGHLINER- 26373</t>
  </si>
  <si>
    <r>
      <rPr>
        <b/>
        <sz val="9"/>
        <color theme="1"/>
        <rFont val="Arial"/>
      </rPr>
      <t xml:space="preserve">1-3.6oz patty= 2M/MA, 1 Grain    </t>
    </r>
    <r>
      <rPr>
        <sz val="9"/>
        <color theme="1"/>
        <rFont val="Arial"/>
      </rPr>
      <t xml:space="preserve">            </t>
    </r>
  </si>
  <si>
    <t>MEAT, SEAFOOD, FISH STICKS</t>
  </si>
  <si>
    <t>AK POLLOCK, WG, OVEN READY PRE-COOKED FISH STICKS</t>
  </si>
  <si>
    <t>2/5# 40srv/4@</t>
  </si>
  <si>
    <t>HIGHLINER-26240</t>
  </si>
  <si>
    <t xml:space="preserve">4 sticks = 2M/MA, 1.5 Grain    </t>
  </si>
  <si>
    <t>MEAT, TURKEY COINS</t>
  </si>
  <si>
    <t>All natural smoked turkey breast coins sliced= 1.75"</t>
  </si>
  <si>
    <t xml:space="preserve">6/2# bags </t>
  </si>
  <si>
    <t>JENNIO - #257412 or Equal To</t>
  </si>
  <si>
    <t>5slices=1M/MA        116 srv of 5 coins each</t>
  </si>
  <si>
    <t>per slice</t>
  </si>
  <si>
    <t>MEAT, TURKEY, FRANKS</t>
  </si>
  <si>
    <r>
      <rPr>
        <sz val="9"/>
        <color theme="1"/>
        <rFont val="Arial"/>
      </rPr>
      <t xml:space="preserve">Fully cooked 6" smoked turkey franks,                           CN labeled  2M/MA </t>
    </r>
    <r>
      <rPr>
        <b/>
        <sz val="9"/>
        <color theme="1"/>
        <rFont val="Arial"/>
      </rPr>
      <t xml:space="preserve"> 80each</t>
    </r>
  </si>
  <si>
    <t>2/5# cs</t>
  </si>
  <si>
    <t xml:space="preserve">BRIARS - 16751 CN </t>
  </si>
  <si>
    <t xml:space="preserve">Less than 12 grams of fat per 2 oz. frank.  No added skin, no filler, no cereals, </t>
  </si>
  <si>
    <t xml:space="preserve">no artificial flavors or colors.  Will not turn green or brown when cooked.    </t>
  </si>
  <si>
    <t>MEAT, TURKEY, BRST, STEAK</t>
  </si>
  <si>
    <t>Pre-sliced browned turkey breast steak slice  1.41 oz</t>
  </si>
  <si>
    <t xml:space="preserve">4/6.17# </t>
  </si>
  <si>
    <t>JENNIE-O    2303-24</t>
  </si>
  <si>
    <t xml:space="preserve">2-1.41 oz slices = 2oz M/MA     24.68#/140-2.82 oz                          </t>
  </si>
  <si>
    <t>MEAT, TURKEY, PASTRAMI</t>
  </si>
  <si>
    <t>Pastrami all natuarl, reduced sodium sliced turkey pastrami .5 oz slices</t>
  </si>
  <si>
    <t>12/1.5#</t>
  </si>
  <si>
    <t>JENNIE-O 263418</t>
  </si>
  <si>
    <t>3-.5oz slices = a 1oz M/MA            96-3oz srv or 192-1.5oz srv</t>
  </si>
  <si>
    <t>MEAT, TURKEY, PEPPERONI</t>
  </si>
  <si>
    <t>Sliced Pepperoni Style seasoned turkey, sliced 19slices = 1 oz M/MA</t>
  </si>
  <si>
    <t xml:space="preserve">8/2-2.5# </t>
  </si>
  <si>
    <t>JENNIE-O    2130-08 price per pound</t>
  </si>
  <si>
    <t xml:space="preserve">1.23 oz serving =1oz M/MA                </t>
  </si>
  <si>
    <t xml:space="preserve"> = 17.6</t>
  </si>
  <si>
    <t>MEAT, TURKEY, ITALIAN SLICED</t>
  </si>
  <si>
    <t>Sliced Italian Turkey Combo Pack, .5oz (4 Salami, 4 Ham, 4 Pepperoni)</t>
  </si>
  <si>
    <t xml:space="preserve">12/1# </t>
  </si>
  <si>
    <t>JENNIE-O     2096-12</t>
  </si>
  <si>
    <t xml:space="preserve">1.5oz = 1oz M/MA                         </t>
  </si>
  <si>
    <t>MEAT, TURKEY, SMOKED SLICED, LS</t>
  </si>
  <si>
    <t>Healthy Ones- Smoked Sliced L/Sodium Turkey Breast</t>
  </si>
  <si>
    <t>6/2#</t>
  </si>
  <si>
    <t>ARMOUR-ECKRICH/HEALTHY - 2294</t>
  </si>
  <si>
    <t>MEAT, UNCRUSTABLE, PB &amp;J, WG</t>
  </si>
  <si>
    <t>Crustless peanut butter and jelly sandwich made with WG bread</t>
  </si>
  <si>
    <t>72/2.6z</t>
  </si>
  <si>
    <t>Smucker's Uncrustable -  6960</t>
  </si>
  <si>
    <r>
      <rPr>
        <sz val="9"/>
        <color theme="1"/>
        <rFont val="Arial"/>
      </rPr>
      <t xml:space="preserve">Grape Individually wrapper.        </t>
    </r>
    <r>
      <rPr>
        <b/>
        <sz val="9"/>
        <color theme="1"/>
        <rFont val="Arial"/>
      </rPr>
      <t xml:space="preserve">1M/MA,1 Grain   </t>
    </r>
    <r>
      <rPr>
        <sz val="9"/>
        <color theme="1"/>
        <rFont val="Arial"/>
      </rPr>
      <t xml:space="preserve"> </t>
    </r>
  </si>
  <si>
    <t xml:space="preserve">or Equal To  </t>
  </si>
  <si>
    <t>MEAT, YOGURT GREEK, BULK</t>
  </si>
  <si>
    <t xml:space="preserve">YOGURT, GREEK HONEY VANILLA, BULK                         </t>
  </si>
  <si>
    <t>3/4#</t>
  </si>
  <si>
    <t>YOPLAIT GREEK YOGURT  - 41167000</t>
  </si>
  <si>
    <t>MEAT, YOGURT PLAIN, BULK</t>
  </si>
  <si>
    <t xml:space="preserve">YOGURT, PLAIN LOW FAT BULK                                      </t>
  </si>
  <si>
    <t>DISTRIBUTORS CHOICE PLAIN YOGURT</t>
  </si>
  <si>
    <t>BULK</t>
  </si>
  <si>
    <t xml:space="preserve">MEAT, YOGURT, PORTION PACKS                 </t>
  </si>
  <si>
    <t>Lowfat yogurt, meet National Yogurt Assoc criteria for live and active yogurt cultures.</t>
  </si>
  <si>
    <t>DANNON - Danimals/YOPLAIT or Equal To</t>
  </si>
  <si>
    <t>48/4Z</t>
  </si>
  <si>
    <t>STRAWBERRY - 2731</t>
  </si>
  <si>
    <t>STRAWBERRY BANANA - 2732</t>
  </si>
  <si>
    <t>VANILLA - 2733</t>
  </si>
  <si>
    <t>VANILLA SMOOTH- 15676</t>
  </si>
  <si>
    <t>STRAWBERRY SMOOTH - 15677</t>
  </si>
  <si>
    <t>HORCHATA SMOOTH - 15675</t>
  </si>
  <si>
    <t>Decrease</t>
  </si>
  <si>
    <t xml:space="preserve">                                                                                 MEAT/MEAT ALTERNATIVES SUB-TOTAL</t>
  </si>
  <si>
    <t>GRAIN/BREADS</t>
  </si>
  <si>
    <t>BREAD- WHOLE GRAIN WHITE OR WHEAT</t>
  </si>
  <si>
    <r>
      <rPr>
        <sz val="8"/>
        <color theme="1"/>
        <rFont val="Arial"/>
      </rPr>
      <t xml:space="preserve">SANDWICH BREAD                   </t>
    </r>
    <r>
      <rPr>
        <b/>
        <sz val="8"/>
        <color theme="1"/>
        <rFont val="Arial"/>
      </rPr>
      <t xml:space="preserve">                                                 CS:10/24OZ OR 240 CT</t>
    </r>
  </si>
  <si>
    <t>08803</t>
  </si>
  <si>
    <t>FLOWERS # 998835670 or equal to</t>
  </si>
  <si>
    <t>SLICES</t>
  </si>
  <si>
    <t>BREAD - BUNS HAMBURGER</t>
  </si>
  <si>
    <t>HAMBURGER BUNS   CN=2oz grain                                                                           CS:120/2 oz -3.5"</t>
  </si>
  <si>
    <t>66690</t>
  </si>
  <si>
    <t>FLOWERS # 99832050 or equat to</t>
  </si>
  <si>
    <t>BUNS</t>
  </si>
  <si>
    <t>BREAD- HOT DOG BUNS</t>
  </si>
  <si>
    <r>
      <rPr>
        <sz val="8"/>
        <color theme="1"/>
        <rFont val="Arial"/>
      </rPr>
      <t xml:space="preserve">HOTDOG BUNS </t>
    </r>
    <r>
      <rPr>
        <b/>
        <sz val="8"/>
        <color theme="1"/>
        <rFont val="Arial"/>
      </rPr>
      <t xml:space="preserve">                                                                                       CS:144/2OZ</t>
    </r>
  </si>
  <si>
    <t>08826</t>
  </si>
  <si>
    <t>FLOWERS #99828820 or equat to</t>
  </si>
  <si>
    <t>BREAD- DELI BUN</t>
  </si>
  <si>
    <r>
      <rPr>
        <sz val="8"/>
        <color theme="1"/>
        <rFont val="Arial"/>
      </rPr>
      <t>DELI BREAD</t>
    </r>
    <r>
      <rPr>
        <b/>
        <sz val="8"/>
        <color theme="1"/>
        <rFont val="Arial"/>
      </rPr>
      <t xml:space="preserve">                                                                                             CS: 120/2OZ</t>
    </r>
  </si>
  <si>
    <t>08794</t>
  </si>
  <si>
    <t>FLOWERS # 99809400 or equat to</t>
  </si>
  <si>
    <t xml:space="preserve">Students do not like the taste or texture of Bake Crafters bread it comes in dried out and freezer burnt looking. </t>
  </si>
  <si>
    <t>BREAD, BAGEL, MINI STRAWBERRY</t>
  </si>
  <si>
    <t>Pillsbury strawberry mini bagels, individually wrapped, with cream cheese filling</t>
  </si>
  <si>
    <t>72/2.43 oz</t>
  </si>
  <si>
    <t>Strawberry Cream Cheese -384136</t>
  </si>
  <si>
    <t>BREAD, BAGEL, MINI CINNAMON</t>
  </si>
  <si>
    <t>Pillsbury cinnamon mini bagels, individually wrapped, with cream cheese filling</t>
  </si>
  <si>
    <t>Cinnamon Cream Cheese- 383993</t>
  </si>
  <si>
    <t>PILLSBURY or Equal To</t>
  </si>
  <si>
    <t xml:space="preserve">BREAD, BISCUIT DOUGH, SPLIT TOP </t>
  </si>
  <si>
    <t xml:space="preserve">Frozen, raw biscuit dough, easy split, southern style, lower sodium.  2.51oz  </t>
  </si>
  <si>
    <t xml:space="preserve"> 216/2.51oz</t>
  </si>
  <si>
    <t xml:space="preserve">Pillsbury # 10752 or Equal To </t>
  </si>
  <si>
    <t xml:space="preserve">(420mg sodium) Product Statement: 1-2.51oz biscuit = 2 oz Grain                </t>
  </si>
  <si>
    <t>BREAD, BREADSTICK, CHEESE STFD</t>
  </si>
  <si>
    <t>WG, Reduced Fat Mozzarella Bosco Stick, Par-Baked</t>
  </si>
  <si>
    <t>144/4"</t>
  </si>
  <si>
    <t>BOSCO or Equal To</t>
  </si>
  <si>
    <t xml:space="preserve">4" Breadstick = 1/2 ozM/MA- 1 GRAIN                                                                 </t>
  </si>
  <si>
    <t>BOSCO-17031141120</t>
  </si>
  <si>
    <t xml:space="preserve">6" Breadstick = 1 ozM/MA- 1 GRAIN                             </t>
  </si>
  <si>
    <t>144/6"</t>
  </si>
  <si>
    <t>BOSCO- 17020111120</t>
  </si>
  <si>
    <t>BREAD, BREADSTICK, TWISTED BLUEBERRY</t>
  </si>
  <si>
    <t xml:space="preserve">Blueberry Twisted Stick- 51%WG, natural blueberry flavors with a creamy cinnamon, </t>
  </si>
  <si>
    <t>96/2.3oz</t>
  </si>
  <si>
    <t>CONAGRA # 7738712611</t>
  </si>
  <si>
    <r>
      <rPr>
        <sz val="9"/>
        <color theme="1"/>
        <rFont val="Arial"/>
      </rPr>
      <t xml:space="preserve">sugar, cheese filling. </t>
    </r>
    <r>
      <rPr>
        <b/>
        <sz val="9"/>
        <color theme="1"/>
        <rFont val="Arial"/>
      </rPr>
      <t xml:space="preserve">1stick=1oz G/1M                                          </t>
    </r>
  </si>
  <si>
    <t>BREAD, BREADSTICK, WHITE W.W.</t>
  </si>
  <si>
    <t>Wheat garlic breadsticks made with whole grain</t>
  </si>
  <si>
    <t>168/1.3Z</t>
  </si>
  <si>
    <t>MARZETTI # 15021</t>
  </si>
  <si>
    <t xml:space="preserve">1-36 gram breadstick=1oz grain equivalent                                             </t>
  </si>
  <si>
    <t xml:space="preserve"> or Equal To</t>
  </si>
  <si>
    <t>BREAD, BREAKFAST, FROZEN BAR, CIN TST CR</t>
  </si>
  <si>
    <t>Pillsbury frozen soft bar filled with cinnamon Neufchatel cheese, ind. Wrapped</t>
  </si>
  <si>
    <t>72/2.36oz</t>
  </si>
  <si>
    <t>PILLSBURY # 018000109781</t>
  </si>
  <si>
    <t xml:space="preserve">1-2.36oz bar= 2oz Grain Eq.                                                                 </t>
  </si>
  <si>
    <t>BREAD, BREAKFAST, FROZEN BAR, COCOA PUFFS</t>
  </si>
  <si>
    <t>Pillsbury frozen soft bar filled with chocolatey Neufchatel cheese, ind. Wrapped</t>
  </si>
  <si>
    <t>72/2.43oz</t>
  </si>
  <si>
    <t>PILLSBURY # 018000110329</t>
  </si>
  <si>
    <t xml:space="preserve">1-2.43oz bar= 2oz Grain Eq.                                                     </t>
  </si>
  <si>
    <t>BREAD, BRK, BREAKFAST BUN</t>
  </si>
  <si>
    <r>
      <rPr>
        <sz val="9"/>
        <color theme="1"/>
        <rFont val="Arial"/>
      </rPr>
      <t xml:space="preserve">Whole Grain, RF, Fortified IW Breakfast Bun,   </t>
    </r>
    <r>
      <rPr>
        <b/>
        <sz val="9"/>
        <color theme="1"/>
        <rFont val="Arial"/>
      </rPr>
      <t>1bun = 2oz grain equivalent</t>
    </r>
  </si>
  <si>
    <t>60/3oz.</t>
  </si>
  <si>
    <t>BAKE CRAFTERS 2003 or Equal To</t>
  </si>
  <si>
    <t>BREAD,  BRK, FRENCH TOAST STICKS</t>
  </si>
  <si>
    <t xml:space="preserve">Fully prepared and individually frozen whole grain batter dipped french toast sticks </t>
  </si>
  <si>
    <t xml:space="preserve">2/5# </t>
  </si>
  <si>
    <t>BAKE CRAFTERS # 442</t>
  </si>
  <si>
    <t xml:space="preserve">3 Stick = 2.25 oz Grain Equivalent                                                                       </t>
  </si>
  <si>
    <t>47.667-SRV OF 3</t>
  </si>
  <si>
    <t>3 PER SRV</t>
  </si>
  <si>
    <t>BREAD, BRK, MINI CINNIS</t>
  </si>
  <si>
    <t xml:space="preserve">WG Mini pull apart cinnamon rolls, cinnamon filling on inside for no mess eating, </t>
  </si>
  <si>
    <t>72/2.29 oz</t>
  </si>
  <si>
    <t>PILLSBURY   -33686-6</t>
  </si>
  <si>
    <t>individually wrapped ovenable packages, pre-baked frozen.</t>
  </si>
  <si>
    <t xml:space="preserve">1 Mini Cinni = 2oz Grain Equivalent                                                             </t>
  </si>
  <si>
    <t>BREAD, BRK, PANCAKES WG</t>
  </si>
  <si>
    <t xml:space="preserve">Fully prepared and individually frozen whole grain pancakes </t>
  </si>
  <si>
    <t>144/1.14 oz</t>
  </si>
  <si>
    <t>PINNACLE, AUNT JEMIMA- 43582</t>
  </si>
  <si>
    <t xml:space="preserve">1 pancake= 1 oz grain equivalent                                                </t>
  </si>
  <si>
    <t>2 @</t>
  </si>
  <si>
    <t xml:space="preserve">POPTART                                                                                      </t>
  </si>
  <si>
    <t xml:space="preserve">120/1CT </t>
  </si>
  <si>
    <t>Kellogg's or Equal To</t>
  </si>
  <si>
    <t>BREAD, BRK,  POPTART</t>
  </si>
  <si>
    <r>
      <rPr>
        <sz val="9"/>
        <color theme="1"/>
        <rFont val="Arial"/>
      </rPr>
      <t>Poptart made with WG frosted cinnamon,WG first ingredient =</t>
    </r>
    <r>
      <rPr>
        <b/>
        <sz val="9"/>
        <color theme="1"/>
        <rFont val="Arial"/>
      </rPr>
      <t>1.25ozgrain equivalent</t>
    </r>
  </si>
  <si>
    <t>KELLOGG'S Cinnamon - 55122</t>
  </si>
  <si>
    <r>
      <rPr>
        <sz val="9"/>
        <color theme="1"/>
        <rFont val="Arial"/>
      </rPr>
      <t>Poptart made with WG frostedstrawberry,WG first ingredient =</t>
    </r>
    <r>
      <rPr>
        <b/>
        <sz val="9"/>
        <color theme="1"/>
        <rFont val="Arial"/>
      </rPr>
      <t>1oz grain equivalent</t>
    </r>
  </si>
  <si>
    <t>KELLOGG'S Strawberry- 55130</t>
  </si>
  <si>
    <r>
      <rPr>
        <sz val="9"/>
        <color theme="1"/>
        <rFont val="Arial"/>
      </rPr>
      <t>Poptart made with WG frosted fudge, WG first ingredient=</t>
    </r>
    <r>
      <rPr>
        <b/>
        <sz val="9"/>
        <color theme="1"/>
        <rFont val="Arial"/>
      </rPr>
      <t>1.25oz grain</t>
    </r>
    <r>
      <rPr>
        <sz val="9"/>
        <color theme="1"/>
        <rFont val="Arial"/>
      </rPr>
      <t xml:space="preserve">  </t>
    </r>
  </si>
  <si>
    <t>KELLOGG'S Chocolate - 12070</t>
  </si>
  <si>
    <r>
      <rPr>
        <sz val="9"/>
        <color theme="1"/>
        <rFont val="Arial"/>
      </rPr>
      <t>Poptart made with WG blueberry,WG first ingredent=</t>
    </r>
    <r>
      <rPr>
        <b/>
        <sz val="9"/>
        <color theme="1"/>
        <rFont val="Arial"/>
      </rPr>
      <t>1.25oz grain</t>
    </r>
    <r>
      <rPr>
        <sz val="9"/>
        <color theme="1"/>
        <rFont val="Arial"/>
      </rPr>
      <t xml:space="preserve"> </t>
    </r>
  </si>
  <si>
    <t>KELLOGG'S Blueberry- 17196</t>
  </si>
  <si>
    <t>BREAD, BRK, WAFFLES, WG</t>
  </si>
  <si>
    <t>Fully prepared and individually frozen whole grain waffle</t>
  </si>
  <si>
    <t>144/1.4oz</t>
  </si>
  <si>
    <t>CON AGRA/KRUSTEAZ # 40321</t>
  </si>
  <si>
    <t xml:space="preserve">2 waffles = 2.25 oz grain equivalent                                   </t>
  </si>
  <si>
    <t>BREAD, BRK, WAFFLES DUTCH, WG</t>
  </si>
  <si>
    <t>Fully prepared and individually frozen whole grain Dutch Waffles</t>
  </si>
  <si>
    <t>48/2.86Z=5"waf</t>
  </si>
  <si>
    <t>J&amp;J # 4521</t>
  </si>
  <si>
    <t xml:space="preserve">1 Dutch waffle = 2 oz grain equivalent                                                                    </t>
  </si>
  <si>
    <t>1 @</t>
  </si>
  <si>
    <t>BREAD, HUSH PUPPY, CORN</t>
  </si>
  <si>
    <r>
      <rPr>
        <sz val="9"/>
        <color theme="1"/>
        <rFont val="Arial"/>
      </rPr>
      <t xml:space="preserve">SC whole Grain Sweet Corn Hushpuppy    </t>
    </r>
    <r>
      <rPr>
        <b/>
        <sz val="9"/>
        <color theme="1"/>
        <rFont val="Arial"/>
      </rPr>
      <t xml:space="preserve">CN 2=1 GRAIN- 130.5 SRV OF 2        </t>
    </r>
  </si>
  <si>
    <t>2/5#</t>
  </si>
  <si>
    <t>SAVANNA CLASSICS # 10020 or equal</t>
  </si>
  <si>
    <t>BREAD, CIABATTA</t>
  </si>
  <si>
    <r>
      <rPr>
        <sz val="9"/>
        <color theme="1"/>
        <rFont val="Arial"/>
      </rPr>
      <t xml:space="preserve">Pillsbury Ciabatta Bread - Presliced w/g ciabatta rolls.  </t>
    </r>
    <r>
      <rPr>
        <b/>
        <sz val="9"/>
        <color theme="1"/>
        <rFont val="Arial"/>
      </rPr>
      <t xml:space="preserve">=2oz Grain   </t>
    </r>
    <r>
      <rPr>
        <sz val="9"/>
        <color theme="1"/>
        <rFont val="Arial"/>
      </rPr>
      <t xml:space="preserve">              </t>
    </r>
  </si>
  <si>
    <t xml:space="preserve">96/1.8 oz srv </t>
  </si>
  <si>
    <t>Pillsbury -37738  or Equal To</t>
  </si>
  <si>
    <t>BREAD, FRENCH BREAD ROLL</t>
  </si>
  <si>
    <r>
      <rPr>
        <sz val="9"/>
        <color theme="1"/>
        <rFont val="Arial"/>
      </rPr>
      <t xml:space="preserve">Pillsbury French Bread, W/G - </t>
    </r>
    <r>
      <rPr>
        <b/>
        <sz val="9"/>
        <color theme="1"/>
        <rFont val="Arial"/>
      </rPr>
      <t>1 piece=2oz Grain</t>
    </r>
  </si>
  <si>
    <t>Pillsbury -10174 or Equal To</t>
  </si>
  <si>
    <t>BREAD, PANINI</t>
  </si>
  <si>
    <r>
      <rPr>
        <sz val="9"/>
        <color theme="1"/>
        <rFont val="Arial"/>
      </rPr>
      <t xml:space="preserve">Pillsbury Panini Bread, W/G - </t>
    </r>
    <r>
      <rPr>
        <b/>
        <sz val="9"/>
        <color theme="1"/>
        <rFont val="Arial"/>
      </rPr>
      <t>2 pieces=2oz Grain</t>
    </r>
  </si>
  <si>
    <t>96/1.8oz</t>
  </si>
  <si>
    <r>
      <rPr>
        <sz val="9"/>
        <color theme="1"/>
        <rFont val="Arial"/>
      </rPr>
      <t xml:space="preserve">Pillsbury 11091 </t>
    </r>
    <r>
      <rPr>
        <sz val="9"/>
        <color theme="1"/>
        <rFont val="Arial"/>
      </rPr>
      <t>or Equal To</t>
    </r>
  </si>
  <si>
    <t>BREAD, CEREAL BAR GRANOLA</t>
  </si>
  <si>
    <r>
      <rPr>
        <sz val="9"/>
        <color theme="1"/>
        <rFont val="Arial"/>
      </rPr>
      <t xml:space="preserve">Quaker Chewy Granola Bar Dark Chocolate Chunk </t>
    </r>
    <r>
      <rPr>
        <b/>
        <sz val="9"/>
        <color theme="1"/>
        <rFont val="Arial"/>
      </rPr>
      <t xml:space="preserve">CN:1.41oz=1G         </t>
    </r>
  </si>
  <si>
    <t>125/1.41oz</t>
  </si>
  <si>
    <t>PEPSICO 56587 or Equal to</t>
  </si>
  <si>
    <t>Case</t>
  </si>
  <si>
    <r>
      <rPr>
        <sz val="9"/>
        <color theme="1"/>
        <rFont val="Arial"/>
      </rPr>
      <t xml:space="preserve">Quaker Chewy Granola Bar Red. Sug. Cookies n' Creme </t>
    </r>
    <r>
      <rPr>
        <b/>
        <sz val="9"/>
        <color theme="1"/>
        <rFont val="Arial"/>
      </rPr>
      <t xml:space="preserve">CN:1.37oz=1G       </t>
    </r>
  </si>
  <si>
    <t>125/1.37oz</t>
  </si>
  <si>
    <t>PEPSICO 56586or Equal to</t>
  </si>
  <si>
    <t>BREAD, CEREAL BAR, WG, CHEWY</t>
  </si>
  <si>
    <t xml:space="preserve">Chewy cereal bar made with whole grain oats and rice no high fructose  </t>
  </si>
  <si>
    <t>96/1.34oz</t>
  </si>
  <si>
    <t>KELLOGGS- COCOA - 91612 or equal to</t>
  </si>
  <si>
    <r>
      <rPr>
        <sz val="9"/>
        <color theme="1"/>
        <rFont val="Arial"/>
      </rPr>
      <t xml:space="preserve">corn syrup.  Contains 3 grams of Fiber   </t>
    </r>
    <r>
      <rPr>
        <b/>
        <sz val="9"/>
        <color theme="1"/>
        <rFont val="Arial"/>
      </rPr>
      <t xml:space="preserve"> 1 bar = 1 Grain Equivalent           </t>
    </r>
  </si>
  <si>
    <t>96/1.27oz</t>
  </si>
  <si>
    <t>KELLOGGS- BERRY - 54937 or Equal To</t>
  </si>
  <si>
    <t>BREAD, SNACK RICE KRISPIE MINI</t>
  </si>
  <si>
    <t xml:space="preserve">RICE KRISPIE MINI SQR W/G                                                    </t>
  </si>
  <si>
    <t>600/.42Z</t>
  </si>
  <si>
    <t xml:space="preserve">KELLOGGS- MINI SQ # 14540 or equal to </t>
  </si>
  <si>
    <t xml:space="preserve">BREAD, SNACK RICE KRISPIE COCO MINI </t>
  </si>
  <si>
    <t xml:space="preserve">RICE KRISPIE COCO MINI W/G                                               </t>
  </si>
  <si>
    <t>KELLOGGS-MINI COCO - 18461 or Equal To</t>
  </si>
  <si>
    <t xml:space="preserve">Individually wrapped WG cereal bars- </t>
  </si>
  <si>
    <t>96/1.42 OZ</t>
  </si>
  <si>
    <t>GENERAL MILLS - or Equal To</t>
  </si>
  <si>
    <r>
      <rPr>
        <sz val="9"/>
        <color theme="1"/>
        <rFont val="Arial"/>
      </rPr>
      <t xml:space="preserve"> </t>
    </r>
    <r>
      <rPr>
        <b/>
        <sz val="9"/>
        <color theme="1"/>
        <rFont val="Arial"/>
      </rPr>
      <t xml:space="preserve">1 Cereal Bar = 1 Grain Equivalent                                                   </t>
    </r>
  </si>
  <si>
    <t>96/1.42Z</t>
  </si>
  <si>
    <t>COCOA PUFFS - 45577</t>
  </si>
  <si>
    <t>CINNAMON TST CRUNCH - 45576</t>
  </si>
  <si>
    <t>FRUITY CHEERIOS - 31912</t>
  </si>
  <si>
    <t>GOLDEN GRAHAMS - 31913</t>
  </si>
  <si>
    <t xml:space="preserve">BREAD, CEREAL BAR, WG, </t>
  </si>
  <si>
    <t>Individually wrapped Crunchy WG cereal bars</t>
  </si>
  <si>
    <t>108/1.48 OZ</t>
  </si>
  <si>
    <t>GENERAL MILLS - or Equal TO</t>
  </si>
  <si>
    <t>CRUNCHY, GLUTEN FREE</t>
  </si>
  <si>
    <r>
      <rPr>
        <sz val="9"/>
        <color theme="1"/>
        <rFont val="Arial"/>
      </rPr>
      <t xml:space="preserve"> 2pk </t>
    </r>
    <r>
      <rPr>
        <b/>
        <sz val="9"/>
        <color theme="1"/>
        <rFont val="Arial"/>
      </rPr>
      <t xml:space="preserve">Cereal Bar = 1.25 Grain Equivalent                                          </t>
    </r>
  </si>
  <si>
    <t>6/18/1.5Z</t>
  </si>
  <si>
    <t>Nature Valley - Oats 'N Honey - 33530</t>
  </si>
  <si>
    <t>Nature Valley - Peanut Butter - 33550</t>
  </si>
  <si>
    <t>BREAD, CEREAL BAR, NUTRI GRAIN</t>
  </si>
  <si>
    <t xml:space="preserve">Kellogg's Nutri-Grain Cereal Bars </t>
  </si>
  <si>
    <t>96/1.55oz</t>
  </si>
  <si>
    <t>KELLOGG'S or Equal To</t>
  </si>
  <si>
    <t xml:space="preserve">EACH 1.55oz cereal bar =1oz GRAIN                                                   </t>
  </si>
  <si>
    <t>96/1.55Z</t>
  </si>
  <si>
    <t>APPLE # 59779 or Equal To</t>
  </si>
  <si>
    <t>BLUEBERRY # 90819</t>
  </si>
  <si>
    <t>STRAWBERRY # 59772</t>
  </si>
  <si>
    <t>BREAD, CEREAL BOWL PAK, WG</t>
  </si>
  <si>
    <t>Must HAVE minimum of 1 gram fiber per serving and whole grain listed</t>
  </si>
  <si>
    <t>96 EACH</t>
  </si>
  <si>
    <r>
      <rPr>
        <sz val="9"/>
        <color theme="1"/>
        <rFont val="Arial"/>
      </rPr>
      <t xml:space="preserve">as first ingredient.        </t>
    </r>
    <r>
      <rPr>
        <b/>
        <sz val="9"/>
        <color theme="1"/>
        <rFont val="Arial"/>
      </rPr>
      <t xml:space="preserve">                                                                           </t>
    </r>
  </si>
  <si>
    <t>96/IND</t>
  </si>
  <si>
    <t>CINNAMON TOAST CRUNCH - 29444</t>
  </si>
  <si>
    <t>COCOA PUFFS - 31888</t>
  </si>
  <si>
    <t>FRUITY CHEERIOS - 31916</t>
  </si>
  <si>
    <t>HONEY NUT CHEERIOS- 11918</t>
  </si>
  <si>
    <t>HONEY NUT CHEX- 11866</t>
  </si>
  <si>
    <t>GOLDEN GRAHAMS - 11943</t>
  </si>
  <si>
    <t>LUCKY CHARMS - 31917</t>
  </si>
  <si>
    <t>REESE'S PUFFS - 31919</t>
  </si>
  <si>
    <t>TRIX- 31922</t>
  </si>
  <si>
    <t>BREAD, CHOW MEIN 51%</t>
  </si>
  <si>
    <t xml:space="preserve">Chow Mein 51% Whole Grain Noodle (No Sauce) </t>
  </si>
  <si>
    <t xml:space="preserve">5/2.5# BAGS </t>
  </si>
  <si>
    <t>YANGS 5th TASTE - 00302-3</t>
  </si>
  <si>
    <t xml:space="preserve">CN: 2oz SERV=2 oz GRAIN                                                             </t>
  </si>
  <si>
    <t>(100/2oz srv)</t>
  </si>
  <si>
    <t>BREAD, CINNAMON ROLL, WG</t>
  </si>
  <si>
    <t>Whole grain freezer to oven cinnamon rolls</t>
  </si>
  <si>
    <t>100/2.7oz</t>
  </si>
  <si>
    <t>Pillsbury # 11111 or Equal To</t>
  </si>
  <si>
    <r>
      <rPr>
        <sz val="9"/>
        <color theme="1"/>
        <rFont val="Arial"/>
      </rPr>
      <t>1-2.7oz cinnamon roll=2oz Grain Equivalent</t>
    </r>
    <r>
      <rPr>
        <b/>
        <sz val="9"/>
        <color theme="1"/>
        <rFont val="Arial"/>
      </rPr>
      <t xml:space="preserve">             </t>
    </r>
    <r>
      <rPr>
        <sz val="9"/>
        <color theme="1"/>
        <rFont val="Arial"/>
      </rPr>
      <t xml:space="preserve">   </t>
    </r>
  </si>
  <si>
    <t>BREAD, CHEEZ-IT</t>
  </si>
  <si>
    <t xml:space="preserve">Baked snack cheese cracker WG            </t>
  </si>
  <si>
    <t>175/.75 oz</t>
  </si>
  <si>
    <t>KELLOGGS - 79263 or Equal To</t>
  </si>
  <si>
    <t>BREAD, COOKIE DOUGH WG, FROZEN</t>
  </si>
  <si>
    <t>1.0 oz BeneFit Cookie Made with 51% Whole Grain</t>
  </si>
  <si>
    <t>384/1 OZ</t>
  </si>
  <si>
    <t>READI BAKE Benefit R/F, WG</t>
  </si>
  <si>
    <t>384/1Z</t>
  </si>
  <si>
    <t>Chocolate Chip - 04911</t>
  </si>
  <si>
    <t>Double Chocolate Chip - 04914</t>
  </si>
  <si>
    <t>BREAD, COOKIE, WGR MINI CHOC CHIP BAGS</t>
  </si>
  <si>
    <t>Grandma's WGR mini chocolate chip cookies - 1.22 oz bag</t>
  </si>
  <si>
    <t>80/1.22 OZ</t>
  </si>
  <si>
    <t>PEPSICO/FRITO LAY GRANDMA'S</t>
  </si>
  <si>
    <t xml:space="preserve">CN 1-1.22oz bag = 1oz grain                                                             </t>
  </si>
  <si>
    <t>#66154 or Equal To</t>
  </si>
  <si>
    <t>.</t>
  </si>
  <si>
    <t>BREAD, COOKIE, WGR, CONFETTI FILLED</t>
  </si>
  <si>
    <t>Whole grain rich indv. wrapped, Confettie cake filled cookie w/frosting</t>
  </si>
  <si>
    <t>120/1.7oz</t>
  </si>
  <si>
    <t>RICH'S # 08202</t>
  </si>
  <si>
    <t xml:space="preserve">1-1.7oz cookie= 1oz grain                                                                   </t>
  </si>
  <si>
    <t>BREAD, COOKIE, WGR, TRPL CHOC FILLED</t>
  </si>
  <si>
    <t>Whole grain rich indv. wrapped, triple choc. Filled cookie made w/Hershey's Chocolate</t>
  </si>
  <si>
    <t>RICH'S # 03593</t>
  </si>
  <si>
    <t>BREAD, CRACKERS, FISH SHAPED</t>
  </si>
  <si>
    <t xml:space="preserve">WG Fish shaped flavored baked bite size crackers.           </t>
  </si>
  <si>
    <t>300/.75 oz</t>
  </si>
  <si>
    <t>PEPPERIDGE FARMS CHED.- 18105</t>
  </si>
  <si>
    <t xml:space="preserve">Must equal 1 grain/bread serving and be 51% WG      </t>
  </si>
  <si>
    <t>PEPPERIDGE FARMS PRET- 14396</t>
  </si>
  <si>
    <t>BREAD, CRACKERS, GRAHAM, C.C.</t>
  </si>
  <si>
    <t>Choc. Chip Bites graham snack in portable popable serving WG</t>
  </si>
  <si>
    <t>150/.95oz</t>
  </si>
  <si>
    <t>KELLOGGS- 80741</t>
  </si>
  <si>
    <t xml:space="preserve">1 pack = 1 grain equivalent                          </t>
  </si>
  <si>
    <t>BREAD, CRACKERS, W/G CAPTAINS WAFERS</t>
  </si>
  <si>
    <t>Lance whole grain captain wafers - first ingredients whole wheat flour.</t>
  </si>
  <si>
    <t xml:space="preserve">400/2PK </t>
  </si>
  <si>
    <t>LANCE - 107762 or Equal To</t>
  </si>
  <si>
    <t xml:space="preserve">2 packages/4crackers =  .05z grain equivalent                  </t>
  </si>
  <si>
    <t>available for shipment July 2016</t>
  </si>
  <si>
    <t>2pks each</t>
  </si>
  <si>
    <t>BREAD, GARLIC TOAST WG</t>
  </si>
  <si>
    <t>B4S 1" Whole Grain Garlic Toast</t>
  </si>
  <si>
    <t>125/1.2oz slices</t>
  </si>
  <si>
    <t>FLOWERS BAKERIES or Equal To</t>
  </si>
  <si>
    <t xml:space="preserve">1-1.2oz slice=1G equivalent                                                  </t>
  </si>
  <si>
    <t>#99887160</t>
  </si>
  <si>
    <t>BREAD, DONUT, LONG JOHN</t>
  </si>
  <si>
    <t xml:space="preserve">Donut Long John RTI W/G                                                                        </t>
  </si>
  <si>
    <t>96/2oz</t>
  </si>
  <si>
    <t>BAKER BOY # 25232</t>
  </si>
  <si>
    <t>BREAD, DONUT, MINI CAKE</t>
  </si>
  <si>
    <t xml:space="preserve">Donut Mini Cake - Cinnamon Sugar                    </t>
  </si>
  <si>
    <t xml:space="preserve">144/.5 OZ </t>
  </si>
  <si>
    <t>BAKER BOY # 35674</t>
  </si>
  <si>
    <t>OR 48 SRV OF 3</t>
  </si>
  <si>
    <t>BREAD, MUFFIN I/W 3.6</t>
  </si>
  <si>
    <t xml:space="preserve">Muffin, WG, Blueberry, I/W 3.6OZ                                                         </t>
  </si>
  <si>
    <t>48/3.6oz</t>
  </si>
  <si>
    <t>SMART CHOICE-#06661 or Equal To</t>
  </si>
  <si>
    <t xml:space="preserve">Muff, WG, Choclat Chip, IW, 3.6oz                                                        </t>
  </si>
  <si>
    <t>SMART CHOICE - # 06670 or Equal To</t>
  </si>
  <si>
    <t>BREAD, RICE VEGETABLE FRIED</t>
  </si>
  <si>
    <t>WG Vegetable Fried Brown Rice</t>
  </si>
  <si>
    <t xml:space="preserve">30.69# </t>
  </si>
  <si>
    <t>MINH - 69074 or Equal To</t>
  </si>
  <si>
    <r>
      <rPr>
        <sz val="9"/>
        <color theme="1"/>
        <rFont val="Arial"/>
      </rPr>
      <t xml:space="preserve"> 84/5.9oz=2 Grain and 1/4c veg.      </t>
    </r>
    <r>
      <rPr>
        <b/>
        <sz val="9"/>
        <color theme="1"/>
        <rFont val="Arial"/>
      </rPr>
      <t>6/5.163# packs</t>
    </r>
  </si>
  <si>
    <t>5.9z srv.</t>
  </si>
  <si>
    <t>BREAD, ROLL DOUGH 51% WG</t>
  </si>
  <si>
    <r>
      <rPr>
        <sz val="9"/>
        <color theme="1"/>
        <rFont val="Arial"/>
      </rPr>
      <t xml:space="preserve">At least 51% Whole Grain Dinner Roll Dough                         </t>
    </r>
    <r>
      <rPr>
        <b/>
        <sz val="9"/>
        <color theme="1"/>
        <rFont val="Arial"/>
      </rPr>
      <t>1GRAIN EQUIVALENT</t>
    </r>
  </si>
  <si>
    <t>408/1oz</t>
  </si>
  <si>
    <t>READIBAKE-01519 or Equal To</t>
  </si>
  <si>
    <t>2 GRAIN EQUIVALENT</t>
  </si>
  <si>
    <t>216/2.2oz</t>
  </si>
  <si>
    <t>READIBAKE - 01509 or Equal To</t>
  </si>
  <si>
    <t>BREAD, ROLL SISTER SCHUBERT'S, PAR BAKED</t>
  </si>
  <si>
    <r>
      <rPr>
        <sz val="9"/>
        <color theme="1"/>
        <rFont val="Arial"/>
      </rPr>
      <t xml:space="preserve">Whole Grain rich par baked dinner rolls- </t>
    </r>
    <r>
      <rPr>
        <b/>
        <sz val="9"/>
        <color theme="1"/>
        <rFont val="Arial"/>
      </rPr>
      <t xml:space="preserve">1-1.5oz roll=____Grain,       </t>
    </r>
  </si>
  <si>
    <t>120/1.5oz</t>
  </si>
  <si>
    <t>SISTER SCHUBERTS -62205 or = to</t>
  </si>
  <si>
    <t>BREAD, Snack, Chex Mix</t>
  </si>
  <si>
    <r>
      <rPr>
        <sz val="9"/>
        <color theme="1"/>
        <rFont val="Arial"/>
      </rPr>
      <t xml:space="preserve">Simply Chex mixes, WG,   </t>
    </r>
    <r>
      <rPr>
        <b/>
        <sz val="9"/>
        <color theme="1"/>
        <rFont val="Arial"/>
      </rPr>
      <t>1 bag = 1 Grain Equivalent</t>
    </r>
  </si>
  <si>
    <t>GENERAL MILLS- or Equal To</t>
  </si>
  <si>
    <t>60/1.03Z</t>
  </si>
  <si>
    <t>Chocolate Carml - 31933</t>
  </si>
  <si>
    <t>Strawberry Yogurt - 31937</t>
  </si>
  <si>
    <t>BREAD, SNACKS, PRETZEL</t>
  </si>
  <si>
    <r>
      <rPr>
        <sz val="9"/>
        <color theme="1"/>
        <rFont val="Arial"/>
      </rPr>
      <t xml:space="preserve">1oz 51% Whole Grain Baked Pretzel Mini     </t>
    </r>
    <r>
      <rPr>
        <b/>
        <sz val="9"/>
        <color theme="1"/>
        <rFont val="Arial"/>
      </rPr>
      <t>CN 1oz=1 Grain</t>
    </r>
    <r>
      <rPr>
        <sz val="9"/>
        <color theme="1"/>
        <rFont val="Arial"/>
      </rPr>
      <t xml:space="preserve">                                </t>
    </r>
  </si>
  <si>
    <t>200/1OZ</t>
  </si>
  <si>
    <t>J&amp;J SNACK FOODS#30113 or Equal To</t>
  </si>
  <si>
    <t xml:space="preserve">BREAD, SNACKS, CHIP CORN </t>
  </si>
  <si>
    <t>Corn chip bulk pack original</t>
  </si>
  <si>
    <t>8/16 OZ</t>
  </si>
  <si>
    <t>FRITO-LAY INC 12248</t>
  </si>
  <si>
    <t xml:space="preserve">1/2 cup = 1oz grain equivalent- Aprox 20 srv per bag - 160 per cs.  </t>
  </si>
  <si>
    <t xml:space="preserve">BREAD, SNACKS, CHIP TORTILLA </t>
  </si>
  <si>
    <t>Chip Tortilla round white salted, made w/100% whole grain corn.</t>
  </si>
  <si>
    <t>104/.875oz</t>
  </si>
  <si>
    <t>Tostitos - 18792 or Equal To</t>
  </si>
  <si>
    <t xml:space="preserve">1bag  tortilla chips = 1.25 oz grain equivalent          </t>
  </si>
  <si>
    <t>Per Bag</t>
  </si>
  <si>
    <t xml:space="preserve">8/2# </t>
  </si>
  <si>
    <t>Azteca 20084 or Equal To</t>
  </si>
  <si>
    <t xml:space="preserve">10-12 chips or 1oz chips = 1 oz grain equivalent    </t>
  </si>
  <si>
    <t>Nacho Cheese Tortilla Chip made w/100% whole grain corn.</t>
  </si>
  <si>
    <t>64/1.66Z</t>
  </si>
  <si>
    <t>SHERERS #61968 or Equal To</t>
  </si>
  <si>
    <t>Nacho Cheese</t>
  </si>
  <si>
    <t xml:space="preserve">1 1.5oz bag  tortilla chips = 1.5 oz grain equivalent         </t>
  </si>
  <si>
    <t>BREAD, SNACKS, CHIP SUN</t>
  </si>
  <si>
    <t xml:space="preserve">Sunchips Multigrain Snacks - made with whole corn   </t>
  </si>
  <si>
    <t>104/1OZ BG</t>
  </si>
  <si>
    <t>SUNCHIPS - HAVEST CHEDDAR -11152</t>
  </si>
  <si>
    <t xml:space="preserve">EACH 1 OZ BAG= 1.25 OZ GRAIN SRVING              </t>
  </si>
  <si>
    <t>SUNCHIPS - GARDEN SALSA - 36445</t>
  </si>
  <si>
    <t>BREAD, SNACKS, WHEAT THINS</t>
  </si>
  <si>
    <r>
      <rPr>
        <sz val="9"/>
        <color theme="1"/>
        <rFont val="Arial"/>
      </rPr>
      <t xml:space="preserve">Wheat Thins single serve bag - </t>
    </r>
    <r>
      <rPr>
        <b/>
        <sz val="9"/>
        <color theme="1"/>
        <rFont val="Arial"/>
      </rPr>
      <t xml:space="preserve">Each 1.75z bg = 2.5z grain    </t>
    </r>
  </si>
  <si>
    <t>72/1.75 BG</t>
  </si>
  <si>
    <t>NABISCO - 00798 or Equal To</t>
  </si>
  <si>
    <t xml:space="preserve">BREAD, SNACKS, SALVEO BRAND </t>
  </si>
  <si>
    <r>
      <rPr>
        <sz val="9"/>
        <color theme="1"/>
        <rFont val="Arial"/>
      </rPr>
      <t xml:space="preserve">Cheese Balls - Whole grain corn first ingredient      </t>
    </r>
    <r>
      <rPr>
        <b/>
        <sz val="9"/>
        <color theme="1"/>
        <rFont val="Arial"/>
      </rPr>
      <t xml:space="preserve">1 bag=.75 oz grain      </t>
    </r>
  </si>
  <si>
    <t>64/.8oz</t>
  </si>
  <si>
    <t>SALVEO - 25058 or Equal To</t>
  </si>
  <si>
    <r>
      <rPr>
        <sz val="9"/>
        <color theme="1"/>
        <rFont val="Arial"/>
      </rPr>
      <t xml:space="preserve">Cheddar &amp; Bacon Fries - Whole grain Cornmeal        </t>
    </r>
    <r>
      <rPr>
        <b/>
        <sz val="9"/>
        <color theme="1"/>
        <rFont val="Arial"/>
      </rPr>
      <t xml:space="preserve">1bag = 1oz grain       </t>
    </r>
  </si>
  <si>
    <t>90/1oz</t>
  </si>
  <si>
    <t>SALVEO - 25060 or Equal To</t>
  </si>
  <si>
    <t>BREAD, SNACKS, CHEETOS</t>
  </si>
  <si>
    <t xml:space="preserve">Cheetos Fantastix WG Chili Cheese                                                   </t>
  </si>
  <si>
    <t>104/IND</t>
  </si>
  <si>
    <t>Cheetos # 360928 or Equal To</t>
  </si>
  <si>
    <t xml:space="preserve">Cheetos Fantastix WG Hot                                                                </t>
  </si>
  <si>
    <t>Cheetos # 435789 or Equal To</t>
  </si>
  <si>
    <t xml:space="preserve">Cheetos Baked WG Crunchy                       </t>
  </si>
  <si>
    <t>Cheetos # 629331 or Equal To</t>
  </si>
  <si>
    <t xml:space="preserve">Cheetos Baked WG Crunchy Hot          </t>
  </si>
  <si>
    <t>Cheetos # 629843 or Equal To</t>
  </si>
  <si>
    <t xml:space="preserve">Cheetos RF WG Puff                               </t>
  </si>
  <si>
    <t>72/.7Z</t>
  </si>
  <si>
    <t>Cheetos # 219105 or Equal To</t>
  </si>
  <si>
    <t xml:space="preserve">Cheetos RF WG Flamin Hot                                </t>
  </si>
  <si>
    <t>Cheetos # 219129 or Equal To</t>
  </si>
  <si>
    <t>BREAD, EDIBOWL</t>
  </si>
  <si>
    <t xml:space="preserve">Edibowls 4 1/2" whole grain baked  </t>
  </si>
  <si>
    <t>12/12CT</t>
  </si>
  <si>
    <t>EDIBOWLS- 0507-8 or Equal To</t>
  </si>
  <si>
    <r>
      <rPr>
        <b/>
        <sz val="9"/>
        <color theme="1"/>
        <rFont val="Arial"/>
      </rPr>
      <t>1 bowl = 1 grain equivalent</t>
    </r>
    <r>
      <rPr>
        <sz val="9"/>
        <color theme="1"/>
        <rFont val="Arial"/>
      </rPr>
      <t xml:space="preserve">                          </t>
    </r>
  </si>
  <si>
    <t>BREAD, TORTILLA ULTRAGRAIN</t>
  </si>
  <si>
    <r>
      <rPr>
        <sz val="9"/>
        <color theme="1"/>
        <rFont val="Arial"/>
      </rPr>
      <t xml:space="preserve">Tortilla ultragrain flour </t>
    </r>
    <r>
      <rPr>
        <b/>
        <sz val="9"/>
        <color theme="1"/>
        <rFont val="Arial"/>
      </rPr>
      <t xml:space="preserve">                                                                     </t>
    </r>
  </si>
  <si>
    <t>16/12CT-192@</t>
  </si>
  <si>
    <t xml:space="preserve">AZTECA-06909 or Equal To </t>
  </si>
  <si>
    <t xml:space="preserve">1 tortilla = 2oz grain equivalent                                </t>
  </si>
  <si>
    <t>BREAD, SHELL SALAD ULTRAGRAIN</t>
  </si>
  <si>
    <t>10" Salad Shell Ultra Grain</t>
  </si>
  <si>
    <t>24/6CT-144 CT</t>
  </si>
  <si>
    <t>AZTECA - 91619 or Equal To</t>
  </si>
  <si>
    <t xml:space="preserve">1 shell = 2oz  grain equivalent                                                 </t>
  </si>
  <si>
    <t>BREAD, UBR</t>
  </si>
  <si>
    <t xml:space="preserve">UBR- The ultimnate breakfast round Oatmeal Chocolate Chip </t>
  </si>
  <si>
    <t>140/2.5oz</t>
  </si>
  <si>
    <t>UBR - OATMEAL CHOC CHIP- 13709</t>
  </si>
  <si>
    <t xml:space="preserve">1 brk round = 2oz grain                                                                           </t>
  </si>
  <si>
    <t>BREAD, ULTRA LOCO BREAD</t>
  </si>
  <si>
    <r>
      <rPr>
        <sz val="9"/>
        <color theme="1"/>
        <rFont val="Arial"/>
      </rPr>
      <t xml:space="preserve">Whole Grain Premium Style Gordita Bread   </t>
    </r>
    <r>
      <rPr>
        <b/>
        <sz val="9"/>
        <color theme="1"/>
        <rFont val="Arial"/>
      </rPr>
      <t>12/12CT-1.8oz each</t>
    </r>
  </si>
  <si>
    <t>FATHER'S TABLE-ROUND - 01188</t>
  </si>
  <si>
    <t xml:space="preserve">1 gordita shell = 2 oz grain equivalent                    </t>
  </si>
  <si>
    <t>BREAD, ENGLISH MUFFIN</t>
  </si>
  <si>
    <t>English Muffin WG Sliced</t>
  </si>
  <si>
    <t>144/2Z</t>
  </si>
  <si>
    <t>JSB INDUSTRIES - SMART CHOICE</t>
  </si>
  <si>
    <t xml:space="preserve">1-2oz English Muffin = 2 oz Grain Equivalent                                     </t>
  </si>
  <si>
    <t>BREAD, DUMPLING, SPAETZLE</t>
  </si>
  <si>
    <t xml:space="preserve">Spaetzle Dumplings - traditional German dumplings </t>
  </si>
  <si>
    <t>4/3#</t>
  </si>
  <si>
    <t>MARZETTI # 41308 22001</t>
  </si>
  <si>
    <t xml:space="preserve">                                                                                                       </t>
  </si>
  <si>
    <t>BREAD, PASTA, EGG NOODLE CURLY</t>
  </si>
  <si>
    <t xml:space="preserve">Egg noodle Medium 1/4" curly                                </t>
  </si>
  <si>
    <t>ZEREGA-CORTONA # 81227</t>
  </si>
  <si>
    <t>BREAD, PASTA, SHELLS MEDIUM</t>
  </si>
  <si>
    <t xml:space="preserve">Shells Medium                                                      </t>
  </si>
  <si>
    <t>2/10#</t>
  </si>
  <si>
    <t>ZEREGA-CORTONA # 81217</t>
  </si>
  <si>
    <t>BREAD, PASTA, PENNE RIGATE</t>
  </si>
  <si>
    <t xml:space="preserve">Penne Rigate                                                  </t>
  </si>
  <si>
    <t>ZEREGA-CORTONA # 81213</t>
  </si>
  <si>
    <t>BREAD, RICE INSTANT</t>
  </si>
  <si>
    <t xml:space="preserve">Instant white rice, long grain, enriched, precooked           </t>
  </si>
  <si>
    <t>12/14Z</t>
  </si>
  <si>
    <t>MINUTE # 11806</t>
  </si>
  <si>
    <t>BREAD, RICE KRISPIES CEREAL BULK</t>
  </si>
  <si>
    <t>Cereal Rice Krispies Bulk</t>
  </si>
  <si>
    <t>DISTRIBUTORS CHOICE</t>
  </si>
  <si>
    <t xml:space="preserve">                                                                                 GRAIN/BREAD SUB-TOTAL</t>
  </si>
  <si>
    <t>Increase</t>
  </si>
  <si>
    <t>FRUIT/VEGETABLES  *USA on everything possible*</t>
  </si>
  <si>
    <t>FRUIT, FRUIT SNACKS</t>
  </si>
  <si>
    <t xml:space="preserve">Welch's Berries 'n Cherries                 </t>
  </si>
  <si>
    <t>144/1.55Z</t>
  </si>
  <si>
    <t>WELCH'S -14492 or Equal to</t>
  </si>
  <si>
    <t xml:space="preserve">Welch's Strawberry                               </t>
  </si>
  <si>
    <t>WELCH'S14496 or Equal to</t>
  </si>
  <si>
    <t>FRUIT, DRY, APPLESAUCE CUP</t>
  </si>
  <si>
    <t xml:space="preserve">Shelf stable applesauce cups must provide ½ cup fruit equivalent under the NSLP guidelines. Individual servings must be a minimum of 4.5 oz net weight. Cups must be shelf stable in dry storage for 18 months. Must be made in a nut-free facility. Flavors to include Original, Cinnamon, Strawberry, Strawberry Banana, Blue Raspberry, Mixed Fruit, Watermelon, Cherry, Blueberry, Birthday Cake, and Sour Apple. Sweetened with real sugar. Product contains zero grams fat, 100% Vitamin C and must not contain HFCS. Made with 100% domestically grown fruit. </t>
  </si>
  <si>
    <t>96/4.5Z</t>
  </si>
  <si>
    <t>Acceptable Brand: National Food Group/Zee Zees or equal to.</t>
  </si>
  <si>
    <t>Zee Zees Applesauce Cup,Birthday Cake                                                                             CS:96/4.5oz</t>
  </si>
  <si>
    <t>NATLFD - A3800</t>
  </si>
  <si>
    <t>Zee Zees Applesauce Cup, Cinnamon                                                                                   CS:96/4.5oz</t>
  </si>
  <si>
    <t>NATLFD - A1510</t>
  </si>
  <si>
    <t>Zee Zees Applesauce Cup,Original                                                                                        CS:96/4.5oz</t>
  </si>
  <si>
    <t>NATLFD - A1500</t>
  </si>
  <si>
    <t>Zee Zees Applesauce Cup, Rock'n Blue Raspberry                                                               CS:96/4.5oz</t>
  </si>
  <si>
    <t>NATLFD - A3530</t>
  </si>
  <si>
    <t>Zee Zees Applesauce Cup,Super Sour Apple                                                                        CS:96/4.5oz</t>
  </si>
  <si>
    <t>NATLFD - A3540</t>
  </si>
  <si>
    <t>FRUIT, DRY, APPLESAUCE</t>
  </si>
  <si>
    <t>Applesauce unsweetened bulk pack.</t>
  </si>
  <si>
    <t xml:space="preserve">DISTRIBUTOR'S CHIOCE-- </t>
  </si>
  <si>
    <t xml:space="preserve">                                   </t>
  </si>
  <si>
    <t>KNOUSE/SUNSOURCE ESSENTIALS</t>
  </si>
  <si>
    <t>FRUIT, DRY, APPLES SLICED</t>
  </si>
  <si>
    <t>APPLES SLICED, WATER PACKED 6.5#- USA</t>
  </si>
  <si>
    <t>DISTRIBUTOR'S CHOICE</t>
  </si>
  <si>
    <t xml:space="preserve">
BURNETTE/ SUNSOURCE MERIT- 00038</t>
  </si>
  <si>
    <t>FRUIT, DRY, CRANBERRIES DRIED</t>
  </si>
  <si>
    <t>Cranberries sweet dried, no artificial flavors, preservatives, TFF, high in fiber</t>
  </si>
  <si>
    <t>Ocean Spray #03477</t>
  </si>
  <si>
    <t xml:space="preserve">FRUIT, DRY, CRANBERRIES IND. </t>
  </si>
  <si>
    <t xml:space="preserve">Cranberries, Dried Cranberries - Strawberry     </t>
  </si>
  <si>
    <t>200/1.16Z</t>
  </si>
  <si>
    <t xml:space="preserve">Ocean Spray - 23445 or equal to </t>
  </si>
  <si>
    <t xml:space="preserve">Cranberries, Dried Cranberries - Cherry      </t>
  </si>
  <si>
    <t xml:space="preserve">Ocean Spray - 23444 or equal to </t>
  </si>
  <si>
    <t xml:space="preserve">Cranberries, Dried Cranberries - Original                 </t>
  </si>
  <si>
    <t xml:space="preserve">Ocean Spray - 23446 or equal to </t>
  </si>
  <si>
    <t>FRUIT, DRY, CHERRIES MARASCHINO</t>
  </si>
  <si>
    <r>
      <rPr>
        <sz val="9"/>
        <color theme="1"/>
        <rFont val="Arial"/>
      </rPr>
      <t>Maraschino Cherries-</t>
    </r>
    <r>
      <rPr>
        <b/>
        <sz val="9"/>
        <color theme="1"/>
        <rFont val="Arial"/>
      </rPr>
      <t xml:space="preserve">4# 10oz </t>
    </r>
  </si>
  <si>
    <t>.5 GAL</t>
  </si>
  <si>
    <t>SENECA FOODS # 8642 or Equal to</t>
  </si>
  <si>
    <t>CONT.</t>
  </si>
  <si>
    <t>FRUIT, DRY, FRUIT COCKTAIL</t>
  </si>
  <si>
    <t xml:space="preserve">Fruit cocktail in juice.*USA*            </t>
  </si>
  <si>
    <t xml:space="preserve">6/#10
</t>
  </si>
  <si>
    <t xml:space="preserve">SOUNSOURCE MERIT #00105 or Equal To
</t>
  </si>
  <si>
    <t>FRUIT, DRY, 100% JUICE ASEPTIC</t>
  </si>
  <si>
    <t xml:space="preserve">100% Juice Boxes - all natural shelf stable juices, portion controlled, straw included </t>
  </si>
  <si>
    <t>APPLE</t>
  </si>
  <si>
    <t>40/4.23Z</t>
  </si>
  <si>
    <t xml:space="preserve">Distributor Choice - list varieties </t>
  </si>
  <si>
    <t>GRAPE</t>
  </si>
  <si>
    <t>ORANGE TANGARINE</t>
  </si>
  <si>
    <t>TROPICAL PUNCH</t>
  </si>
  <si>
    <t>WANGO MANGO</t>
  </si>
  <si>
    <t>44/4.23Z</t>
  </si>
  <si>
    <t>DRAGON PUNCH</t>
  </si>
  <si>
    <t>FRUIT, DRY, 100% JUICE SPARKLE</t>
  </si>
  <si>
    <t>100% Fruit juice made with filtered sparkling water</t>
  </si>
  <si>
    <t>24/8Z</t>
  </si>
  <si>
    <t>ENVY - FRUIT PUNCH # 2015</t>
  </si>
  <si>
    <t>ENVY BRAND OR EQUAL TO</t>
  </si>
  <si>
    <t>ENVY - APPLE # 2008</t>
  </si>
  <si>
    <t>PACK:24/8OZ</t>
  </si>
  <si>
    <t>ENVY - STRAWBERRY KIWI # 2022</t>
  </si>
  <si>
    <t>ENVY-TROPICAL ORANGE # 2077</t>
  </si>
  <si>
    <t>ENVY- ACAI BERRY # 2039</t>
  </si>
  <si>
    <t>FRUIT, DRY, MANDARIN ORANGES</t>
  </si>
  <si>
    <r>
      <rPr>
        <sz val="9"/>
        <color theme="1"/>
        <rFont val="Arial"/>
      </rPr>
      <t>Whole mandarin oranges packed in</t>
    </r>
    <r>
      <rPr>
        <b/>
        <sz val="9"/>
        <color theme="1"/>
        <rFont val="Arial"/>
      </rPr>
      <t xml:space="preserve"> light syrup         </t>
    </r>
  </si>
  <si>
    <t xml:space="preserve">  WORLD #14919  or Equal To 
</t>
  </si>
  <si>
    <t xml:space="preserve">FRUIT, DRY, PEACHES </t>
  </si>
  <si>
    <r>
      <rPr>
        <sz val="9"/>
        <color theme="1"/>
        <rFont val="Arial"/>
      </rPr>
      <t xml:space="preserve">Peaches, sliced choice  *USA*    </t>
    </r>
    <r>
      <rPr>
        <b/>
        <sz val="9"/>
        <color theme="1"/>
        <rFont val="Arial"/>
      </rPr>
      <t xml:space="preserve"> light syrup</t>
    </r>
  </si>
  <si>
    <t xml:space="preserve">ORCHARD #24416  or Equal To
</t>
  </si>
  <si>
    <t>FRUIT, DRY, PEARS</t>
  </si>
  <si>
    <r>
      <rPr>
        <sz val="9"/>
        <color theme="1"/>
        <rFont val="Arial"/>
      </rPr>
      <t>Pears, sliced , choice in</t>
    </r>
    <r>
      <rPr>
        <b/>
        <sz val="9"/>
        <color theme="1"/>
        <rFont val="Arial"/>
      </rPr>
      <t xml:space="preserve"> juice</t>
    </r>
    <r>
      <rPr>
        <sz val="9"/>
        <color theme="1"/>
        <rFont val="Arial"/>
      </rPr>
      <t xml:space="preserve"> *USA*            </t>
    </r>
  </si>
  <si>
    <t xml:space="preserve"> SUNSOURCE MERIT #00122 or Equal To
</t>
  </si>
  <si>
    <t>FRUIT, DRY, PINEAPPLE</t>
  </si>
  <si>
    <t xml:space="preserve">Pineapple Chunks in Clarified Juice is a canned food prepared from small, </t>
  </si>
  <si>
    <t xml:space="preserve"> DEL MONTE #00157 or Equal To</t>
  </si>
  <si>
    <t xml:space="preserve">wedge-shaped sections of pineapple with clarified juice as the packing medium. </t>
  </si>
  <si>
    <r>
      <rPr>
        <b/>
        <sz val="9"/>
        <color theme="1"/>
        <rFont val="Arial"/>
      </rPr>
      <t xml:space="preserve">No sulfites added. </t>
    </r>
    <r>
      <rPr>
        <sz val="9"/>
        <color rgb="FFFF0000"/>
        <rFont val="Arial"/>
      </rPr>
      <t xml:space="preserve">  (Delmonte or Dole required, no off brands please)</t>
    </r>
    <r>
      <rPr>
        <sz val="9"/>
        <color theme="1"/>
        <rFont val="Arial"/>
      </rPr>
      <t xml:space="preserve">  </t>
    </r>
  </si>
  <si>
    <t>FRUIT, DRY, RAISELS</t>
  </si>
  <si>
    <t>Golden Raisins lightly coated with sugar and fruity flavors.</t>
  </si>
  <si>
    <t>200/1.6Z</t>
  </si>
  <si>
    <t>RAISELS -SOUR LEMON BLAST- 00586</t>
  </si>
  <si>
    <t>RAISELS -SOUR ORANGE - 00587</t>
  </si>
  <si>
    <t>RAISELS -SOUR WATERMELON-00588</t>
  </si>
  <si>
    <t>200/1.3z</t>
  </si>
  <si>
    <t xml:space="preserve">RAISELS - TROPICAL  - </t>
  </si>
  <si>
    <t>RAISELS - GRAPE - 10569</t>
  </si>
  <si>
    <t>RAISELS - FRUIT SPLASH- 00589</t>
  </si>
  <si>
    <t>FRUIT, DRY, RAISINS</t>
  </si>
  <si>
    <t>RAISINS SELECT SEEDLESS</t>
  </si>
  <si>
    <t>144/1.3Z</t>
  </si>
  <si>
    <t>1.3 OZ BOXES=1/4 C. FRUIT</t>
  </si>
  <si>
    <t>Azar 7225510</t>
  </si>
  <si>
    <t>FRUIT, FROZEN, BLACKBERRIES</t>
  </si>
  <si>
    <t>BLACKBERRIESE, FRESH, IQF</t>
  </si>
  <si>
    <t>Coloma  01261</t>
  </si>
  <si>
    <t>FRUIT, FROZEN, BLUEBERRIES</t>
  </si>
  <si>
    <t>BLUEBERRIES, FRESH, IQF</t>
  </si>
  <si>
    <t>COLOMA</t>
  </si>
  <si>
    <t>FRUIT, FROZEN, CHERRIES</t>
  </si>
  <si>
    <t xml:space="preserve">Red tart pitted Cherries, IQF                 </t>
  </si>
  <si>
    <t>Coloma 255/43003</t>
  </si>
  <si>
    <t xml:space="preserve">Dark Sweet Pitted Cherries, IQF       </t>
  </si>
  <si>
    <t>4/40Z</t>
  </si>
  <si>
    <r>
      <rPr>
        <sz val="9"/>
        <color theme="1"/>
        <rFont val="Arial"/>
      </rPr>
      <t>Coloma #141</t>
    </r>
    <r>
      <rPr>
        <sz val="9"/>
        <color theme="1"/>
        <rFont val="Arial"/>
      </rPr>
      <t xml:space="preserve">
</t>
    </r>
  </si>
  <si>
    <t>FRUIT, FROZEN, FRUIT DELUXE, IQF</t>
  </si>
  <si>
    <t xml:space="preserve">IQF Mixed Fruit-Peaches, Strawberries, Pineapple, Honeydew Melons </t>
  </si>
  <si>
    <t xml:space="preserve"> and Red Seedless Grapes.             </t>
  </si>
  <si>
    <t>DOLE 16511</t>
  </si>
  <si>
    <t>FRUIT, FROZEN, MIXED BERRIES</t>
  </si>
  <si>
    <t>IQF Fresh Frozen Mixed Berry Blend ( strawberries, red raspberries, black berries,</t>
  </si>
  <si>
    <t>DOLE # 71202-06411</t>
  </si>
  <si>
    <t xml:space="preserve"> &amp; blueberries)                 APPROX. 50-1/2c PER 10#                         </t>
  </si>
  <si>
    <t>1/2c SRV</t>
  </si>
  <si>
    <t>FRUIT, FROZEN, MOSTLY MICHIGN</t>
  </si>
  <si>
    <t xml:space="preserve">IQF Mixed fruit- APPLES,(SALT, CITRIC AND ASCROBIC ACID USED A </t>
  </si>
  <si>
    <t>PRESERVATIVES:, PEACHES, STRAWBERRIES, PINEAPPLE, SWEET</t>
  </si>
  <si>
    <t>Coloma 179</t>
  </si>
  <si>
    <t>CHERRIES.</t>
  </si>
  <si>
    <t>FRUIT, FROZEN, SHERBET</t>
  </si>
  <si>
    <t>Luigi's Sherbet-Easy to Spoon creamy texture, Provides 1/4 cup fruit under the CN</t>
  </si>
  <si>
    <t>96/4Z</t>
  </si>
  <si>
    <t>J&amp;J - LUIGI'S ORANGE-38440</t>
  </si>
  <si>
    <t xml:space="preserve"> Program, 100% RDA Vitamin C, Gluten Free, Low sodium</t>
  </si>
  <si>
    <t>LUIGI'S LIME - 38442</t>
  </si>
  <si>
    <t xml:space="preserve">1-4oz preportioned cup = provides 1/4 cup fruit serving           </t>
  </si>
  <si>
    <t>FRUIT, FROZEN, STRAWBERRY DICED</t>
  </si>
  <si>
    <t xml:space="preserve">IQF Diced Strawberries </t>
  </si>
  <si>
    <t>Dole 17951</t>
  </si>
  <si>
    <t>FRUIT, FROZEN, STRAWBERRY WHL</t>
  </si>
  <si>
    <t>IQF Whole Frozen Strawberries</t>
  </si>
  <si>
    <t>DISTRIBUTOR'S  CHOICE</t>
  </si>
  <si>
    <t>Unipro 62252/43306</t>
  </si>
  <si>
    <t>FRUIT, FROZEN, 100% JUICE K PAKS</t>
  </si>
  <si>
    <r>
      <rPr>
        <sz val="9"/>
        <color theme="1"/>
        <rFont val="Arial"/>
      </rPr>
      <t xml:space="preserve">100% Juice fortified with Calcium, Vit A, C and E.  </t>
    </r>
    <r>
      <rPr>
        <b/>
        <sz val="9"/>
        <color theme="1"/>
        <rFont val="Arial"/>
      </rPr>
      <t>KPAKS</t>
    </r>
  </si>
  <si>
    <t>COUNTRY PURE -ARDMORE K PAKS or Equal To</t>
  </si>
  <si>
    <t>APPLE - 41771</t>
  </si>
  <si>
    <t>We would really like to stay with all Country Pure Juice products.  Our students do</t>
  </si>
  <si>
    <t>APPLE CHERRY - 41760</t>
  </si>
  <si>
    <t xml:space="preserve"> not care for the taste of the Suncup juices. </t>
  </si>
  <si>
    <t>FRUIT PUNCH - 41776</t>
  </si>
  <si>
    <t>GRAPE - 41773</t>
  </si>
  <si>
    <t>ORANGE - 41770</t>
  </si>
  <si>
    <t>ORANGE PINEAPPLE - 41774</t>
  </si>
  <si>
    <t>FRUIT, FROZEN, JUICE V-BLEND</t>
  </si>
  <si>
    <t>4oz. Eco carton, frozen, Pasteurized, 100% juice from concentrate.  No additives or</t>
  </si>
  <si>
    <t>COUNTRY PURE- ARDMOR</t>
  </si>
  <si>
    <t xml:space="preserve">preservatives.  Product must have a vegetable listed as the first (predominant) </t>
  </si>
  <si>
    <t>70/4Z</t>
  </si>
  <si>
    <t>WANGO MANGO - 45711</t>
  </si>
  <si>
    <t xml:space="preserve">ingredient to allow contribution to other "other" or "additional" vegetable requirements </t>
  </si>
  <si>
    <t>CHERRY STAR - 45712</t>
  </si>
  <si>
    <t>as defined by USDA.  Product to include fortification of  Vitamins A, C &amp; E.</t>
  </si>
  <si>
    <t xml:space="preserve"> 1-4oz carton=1/2c. Veg.                                                                   </t>
  </si>
  <si>
    <t>FRUIT, FROZEN, WHOLE FRUIT CUP</t>
  </si>
  <si>
    <r>
      <rPr>
        <sz val="9"/>
        <color theme="1"/>
        <rFont val="Arial"/>
      </rPr>
      <t xml:space="preserve">Whole Fruit premium Frozen 100% Juice Cup                </t>
    </r>
    <r>
      <rPr>
        <b/>
        <sz val="9"/>
        <color theme="1"/>
        <rFont val="Arial"/>
      </rPr>
      <t xml:space="preserve">      1-4.4oz cup=1/2c.fruit</t>
    </r>
  </si>
  <si>
    <t>J&amp;J SNACK or Equal To</t>
  </si>
  <si>
    <t xml:space="preserve">All varieties of WHOLE FRUIT premium frozen juice cups provide up to 1/2 cup </t>
  </si>
  <si>
    <t>96/4.4Z</t>
  </si>
  <si>
    <t>WILD CHERRY - 23060000</t>
  </si>
  <si>
    <t>single strength juice per 4.4 fl. Oz. cup.</t>
  </si>
  <si>
    <t>ORANGE PINE/CHERRY - 23060020</t>
  </si>
  <si>
    <t>MIXED BERRY/LEMONADE - 23060025</t>
  </si>
  <si>
    <t>STRAWBERRY/POM. -23060005</t>
  </si>
  <si>
    <t>VEG. DRY, BEANS BLACK</t>
  </si>
  <si>
    <t>Beans, black, (Turtle beans), low sodium, dry, canned, whole, US</t>
  </si>
  <si>
    <t xml:space="preserve">SUNSOURCE MERIT #00059
</t>
  </si>
  <si>
    <t>VEG. DRY, BEANS BLACK, SEASONED</t>
  </si>
  <si>
    <t>Beans, Santiago Seasoned vegetarian black beans</t>
  </si>
  <si>
    <t>6/26.9Z</t>
  </si>
  <si>
    <t>Basic American Foods # 60045 or = to</t>
  </si>
  <si>
    <t>VEG. DRY, BEANS GREEN</t>
  </si>
  <si>
    <r>
      <rPr>
        <sz val="9"/>
        <color theme="1"/>
        <rFont val="Arial"/>
      </rPr>
      <t xml:space="preserve">Beans, Green Cut, </t>
    </r>
    <r>
      <rPr>
        <sz val="9"/>
        <color rgb="FFFF0000"/>
        <rFont val="Arial"/>
      </rPr>
      <t>Low Sodium</t>
    </r>
  </si>
  <si>
    <t xml:space="preserve">US Grade A, Blue Lake, 4 sieve.  Beans should be plump, tender, MDW 60 oz. </t>
  </si>
  <si>
    <t>SUNSOURCE MERIT #00079</t>
  </si>
  <si>
    <t>Ranch or short cuts are unacceptable, liquid should be reasonably clear, slightly cloudy.</t>
  </si>
  <si>
    <t>VEG. DRY, BEANS GREAT NORTHERN</t>
  </si>
  <si>
    <t xml:space="preserve">Great Northern Beans, Low Sodium,  dry pack, cooked  144-1/2c srv per cs  </t>
  </si>
  <si>
    <t>SUNSOURCE MERIT</t>
  </si>
  <si>
    <t>VEG. DRY, BEANS LIGHT RED KIDNEY</t>
  </si>
  <si>
    <r>
      <rPr>
        <sz val="9"/>
        <color theme="1"/>
        <rFont val="Arial"/>
      </rPr>
      <t xml:space="preserve">Light Red Kidney Beans in Sauce, </t>
    </r>
    <r>
      <rPr>
        <sz val="9"/>
        <color rgb="FFFF0000"/>
        <rFont val="Arial"/>
      </rPr>
      <t>Low Sodium</t>
    </r>
    <r>
      <rPr>
        <sz val="9"/>
        <color theme="1"/>
        <rFont val="Arial"/>
      </rPr>
      <t>, Canned, Grade A</t>
    </r>
  </si>
  <si>
    <t>VEG. DRY, OLIVES</t>
  </si>
  <si>
    <t xml:space="preserve">MEDIUM PITTED WHOLE RIPE BLACK OLIVES                         </t>
  </si>
  <si>
    <r>
      <rPr>
        <sz val="9"/>
        <color theme="1"/>
        <rFont val="Arial"/>
      </rPr>
      <t>DISTIBUTORS CHOICE WORLD #26657</t>
    </r>
    <r>
      <rPr>
        <sz val="9"/>
        <color theme="1"/>
        <rFont val="Arial"/>
      </rPr>
      <t xml:space="preserve">
</t>
    </r>
  </si>
  <si>
    <t>VEG. DRY, PEPPER, GREEN CHILI</t>
  </si>
  <si>
    <t xml:space="preserve">Green Chili's Diced               </t>
  </si>
  <si>
    <t>27Z</t>
  </si>
  <si>
    <t xml:space="preserve">PALMAS #16025SPL or Equal To 
</t>
  </si>
  <si>
    <t xml:space="preserve">VEG. DRY, PEPPER JALPENO </t>
  </si>
  <si>
    <t xml:space="preserve">Jalapeno Peppers Sliced                                                                         </t>
  </si>
  <si>
    <t>1 GAL</t>
  </si>
  <si>
    <t>ROLAND # 45772 SPL or Equal To</t>
  </si>
  <si>
    <t>VEG. DRY, POTATO MASHED</t>
  </si>
  <si>
    <t>Potato Pearls Natural Mashed Potatoes, Low Sodium</t>
  </si>
  <si>
    <t>12/26.5Z</t>
  </si>
  <si>
    <t>BASIC AMERICAN FOODS - 10426</t>
  </si>
  <si>
    <t xml:space="preserve">360-1/4 cup srv of starchy veg. per cs.                 </t>
  </si>
  <si>
    <t>VEG. DRY, POTATO AU GRATIN</t>
  </si>
  <si>
    <t>Idahoan REAL AU GRATIN Potato Casserole is made from sliced dehydrated</t>
  </si>
  <si>
    <t>12/20.4Z</t>
  </si>
  <si>
    <t>IDAHOAN FOODS- 00888</t>
  </si>
  <si>
    <t>potatoes cut from 100% Idaho potatoes in a savory, seasoned cheese sauce.</t>
  </si>
  <si>
    <t xml:space="preserve">468-1/4 cup srv of starchy veg. per cs.                                        </t>
  </si>
  <si>
    <t>VEG. DRY, TOMATO CRUSHED</t>
  </si>
  <si>
    <t>Redpack concentrated crushed all purpose tomatoes</t>
  </si>
  <si>
    <t>Red Gold/Redpack -81400 or RPKDX99</t>
  </si>
  <si>
    <t>ALL PURPOSE, Minimum drained weight of 63.5 oz/ can</t>
  </si>
  <si>
    <t xml:space="preserve">1oz srv = 1/4 cup red/orange vegetable credit         </t>
  </si>
  <si>
    <t>VEG. DRY, TOMATO DICED</t>
  </si>
  <si>
    <t>Tomatoes, canned , diced, peeled.  Grade B, Min. drained weight of</t>
  </si>
  <si>
    <t xml:space="preserve"> 63.5 oz/ #10 can</t>
  </si>
  <si>
    <t>VEG. DRY, TOMATO KETCHUP</t>
  </si>
  <si>
    <t xml:space="preserve">Red Gold 100% Natural ketchup made with sugar LS </t>
  </si>
  <si>
    <t>SUNSOURCE MERIT #00149</t>
  </si>
  <si>
    <t xml:space="preserve">VEG. DRY, TOMATO MARINARA                                                                                    </t>
  </si>
  <si>
    <t xml:space="preserve">Redpack nutritionally enhanced marinara sauce with rich red pieces of tomatoes overlaid with puree and blended with spices.  70% lower in sodium. 2oz srv = 1/4 c. red/orange veg. srv.   </t>
  </si>
  <si>
    <t>RED GOLD/REDPACK-82206/RPKNA9E</t>
  </si>
  <si>
    <t>2z COST</t>
  </si>
  <si>
    <t xml:space="preserve">VEG. DRY, TOMATO MARINARA                                                                                   </t>
  </si>
  <si>
    <t>Redpack nutritionally enhanced marinara sauce with rich red pieces of tomatoes overlaid with puree and blended with spices. 70% lower in sodium.</t>
  </si>
  <si>
    <t>168/2.5Z</t>
  </si>
  <si>
    <t>REDGLD - 82207 - REDNA2ZC168</t>
  </si>
  <si>
    <t>VEG. DRY, TOMATO SALSA</t>
  </si>
  <si>
    <t xml:space="preserve">Nutritionally enhanced salsa-mild, LS, with a tasty blend of tomatoes with jalapenos, </t>
  </si>
  <si>
    <t>RED GOLD-11005/REDSC99</t>
  </si>
  <si>
    <t xml:space="preserve"> onion, garlic and spices, enriched with Vitamin A, C and E.                         </t>
  </si>
  <si>
    <t xml:space="preserve">2oz srv = 1/4 c. red/orange veg. srv.                                     </t>
  </si>
  <si>
    <t>VEG. DRY, TOMATO SAUCE</t>
  </si>
  <si>
    <t>Redpack tomato sauce, Grade B, Minimum drained weight of 63.5 oz/ can</t>
  </si>
  <si>
    <t>REDGOLD-81800 or RPKHA99</t>
  </si>
  <si>
    <t>VEG. FROZEN, BLENDS</t>
  </si>
  <si>
    <t xml:space="preserve">VEGETABLES CATALINA BLEND  </t>
  </si>
  <si>
    <t>8/3#</t>
  </si>
  <si>
    <t>SIMPLOT-  66266 or Equal To</t>
  </si>
  <si>
    <t>VEGETABLE. CAPRI BLEND</t>
  </si>
  <si>
    <t>6/4#</t>
  </si>
  <si>
    <t xml:space="preserve">NORPAC FOODS- 03181 </t>
  </si>
  <si>
    <t>VEGETABLE. FAJITA BLEND</t>
  </si>
  <si>
    <t>12/32z</t>
  </si>
  <si>
    <t>SIMPLOT -74662</t>
  </si>
  <si>
    <t>VEG. FROZEN, BROCCOLI CUTS</t>
  </si>
  <si>
    <t>Broccoli Florets IQF, US Grade A</t>
  </si>
  <si>
    <t>12/2#</t>
  </si>
  <si>
    <t>THEINN - 43116 or Equal To</t>
  </si>
  <si>
    <t>VEG. FROZEN, CALIFORNIA BLEND</t>
  </si>
  <si>
    <t>Broccoli, Cauliflower, and Carrots mixed frozen blend</t>
  </si>
  <si>
    <t>UNIPRO</t>
  </si>
  <si>
    <t>VEG. FROZEN, CARROTS CRINKLE CT</t>
  </si>
  <si>
    <t xml:space="preserve">Carrots, sliced, crinkle cut, frozen, US Grade A </t>
  </si>
  <si>
    <t xml:space="preserve">DISTRIBUTOR'S CHOICE </t>
  </si>
  <si>
    <t>PACKER 00224</t>
  </si>
  <si>
    <t>VEG. FROZEN,  CORN</t>
  </si>
  <si>
    <t xml:space="preserve">Corn, Sweet, Whole kernel, frozen IQF Grade A                         </t>
  </si>
  <si>
    <t>12/40Z</t>
  </si>
  <si>
    <t>SIMPLOT- 18733 or Equal To</t>
  </si>
  <si>
    <t>VEG. FROZEN, CORN &amp; BEAN BLEND</t>
  </si>
  <si>
    <t>Corn and bean fiesta blend</t>
  </si>
  <si>
    <t>6/2.5#</t>
  </si>
  <si>
    <t>SIMPLOT - 77776</t>
  </si>
  <si>
    <t>VEG. FROZEN, MIXED</t>
  </si>
  <si>
    <t xml:space="preserve">Mixed frozen blend vegetables. US Grade A. </t>
  </si>
  <si>
    <t>20#</t>
  </si>
  <si>
    <t>LAKESIDE</t>
  </si>
  <si>
    <t>VEG. FROZEN, PEAS &amp; CARROTS</t>
  </si>
  <si>
    <t>Peas, green, frozen and diced carrots US Grade A #3 or #4 size</t>
  </si>
  <si>
    <t>VEG. FROZEN, POTATO FRIES, GEN7</t>
  </si>
  <si>
    <r>
      <rPr>
        <sz val="9"/>
        <color theme="1"/>
        <rFont val="Arial"/>
      </rPr>
      <t xml:space="preserve">Generation 7 Fries / Concertina (X14)  </t>
    </r>
    <r>
      <rPr>
        <b/>
        <sz val="9"/>
        <color theme="1"/>
        <rFont val="Arial"/>
      </rPr>
      <t>288-1/2c. srv. per cs.</t>
    </r>
  </si>
  <si>
    <t>6/4.5#</t>
  </si>
  <si>
    <t xml:space="preserve">LAMB WESTON GEN7 Concertina-(X14) </t>
  </si>
  <si>
    <t>US Grade A, ZGTF, 1/2" Crinkle Cut FRENCH FRIES, coated, OVENABLE</t>
  </si>
  <si>
    <t xml:space="preserve">1.5 oz of french fries = 1/2c veg serv(approx. 12 fries) </t>
  </si>
  <si>
    <t xml:space="preserve">VEG. FROZEN, POTATO BABY </t>
  </si>
  <si>
    <t xml:space="preserve">ROASTED BABY BAKERS- Roasted, whole, skin- on baby potatoes with delicate </t>
  </si>
  <si>
    <t>SIMPLOT- 00048</t>
  </si>
  <si>
    <t>skin and buttery yellow flesh. Lightly seasoned with roasted garlic and black pepper.</t>
  </si>
  <si>
    <t xml:space="preserve">72.90SRV =3.29oz -1/2cup srv of starch veg. per cs.   </t>
  </si>
  <si>
    <t>VEG. FROZEN, POTATO BABY 1/2'S</t>
  </si>
  <si>
    <t xml:space="preserve">Flame roasted baby baker halves with a herb and parmesan seasoningl  </t>
  </si>
  <si>
    <t>SIMPLOT - 10071179037927 or Equal To</t>
  </si>
  <si>
    <t xml:space="preserve">71 SRV = 3.38oz - 1/2 srv of starch veg. per cs. </t>
  </si>
  <si>
    <t>VEG. FROZEN, POTATO CRISPY BATTER BITES</t>
  </si>
  <si>
    <t xml:space="preserve">Skin-on, battered, seasoned, random potato cut potatoes.  Prepared in vegetable oil.  To be prepared to US Grade A standards. </t>
  </si>
  <si>
    <t>6/6#</t>
  </si>
  <si>
    <t>SIMPLOT - 10071179477273 or Equal To</t>
  </si>
  <si>
    <t xml:space="preserve">178.88SRV = 3.22oz - 1/2c srv of starch veg per cs    </t>
  </si>
  <si>
    <t>VEG. FROZEN, POTATO DICED  5/8</t>
  </si>
  <si>
    <t xml:space="preserve">Salad Dices- Individual Quick Frozen 5/8" dices.  </t>
  </si>
  <si>
    <t xml:space="preserve"> 6/6#</t>
  </si>
  <si>
    <t>LAMBWESTON -J73</t>
  </si>
  <si>
    <t xml:space="preserve">Prepared in boiling water in just 5 minutes.      Grade A        </t>
  </si>
  <si>
    <t>VEG. FROZEN, POTATO ROSEMARY</t>
  </si>
  <si>
    <t xml:space="preserve">FLAME ROASTED ROSEMARY REDSKINS- 1" IN LENGTH. OVEN- ROASTED </t>
  </si>
  <si>
    <t>SIMPLOT- 757672</t>
  </si>
  <si>
    <t xml:space="preserve">RED POT LIGHTLY SEOSONED W/A  BLEND OF ROSEMARY &amp; SPICES  </t>
  </si>
  <si>
    <t xml:space="preserve">75 srv = 3.20 oz-1/2cup starchy veg. per cs                               </t>
  </si>
  <si>
    <t>VEG. FROZEN, POTATO ROUNDABOUT</t>
  </si>
  <si>
    <t>Lamb's supreme tater roundabouts A@^</t>
  </si>
  <si>
    <t>LAMB WESTON A26</t>
  </si>
  <si>
    <t xml:space="preserve">188.97, 2.54oz srv(11pc per srv) = 1/2 cup starchy veg.              </t>
  </si>
  <si>
    <t>VEG. FROZEN, POTATO SEASONED</t>
  </si>
  <si>
    <t>Crispy bakeable crinkle fries 1/2"</t>
  </si>
  <si>
    <t>MCCAIN # 1000007470</t>
  </si>
  <si>
    <t xml:space="preserve">224.29 srv per cs, 2.68 oz srv=1/2 cup starchy veg.             </t>
  </si>
  <si>
    <t>VEG. FROZEN, POTATO, SIDEWINDERS BBQ</t>
  </si>
  <si>
    <t>Simplot Sidewinders Smokey BBQ batter- Original Cut</t>
  </si>
  <si>
    <t>SIMPLOT - 032182</t>
  </si>
  <si>
    <t xml:space="preserve">176.95 srv = 2.17oz-1/2cup starchy veg. per cs                             </t>
  </si>
  <si>
    <t>VEG. FROZEN, POTATO SMILES</t>
  </si>
  <si>
    <t xml:space="preserve">McCain Smiles Crispy mashed potato shaped product. </t>
  </si>
  <si>
    <t>MCCAIN SMILES # OIF03456</t>
  </si>
  <si>
    <t>4 smiles= 1/2c. Starchy veg.                      159.6 srv of 4</t>
  </si>
  <si>
    <t>VEG. FROZEN, POTATO SPUDSTER</t>
  </si>
  <si>
    <t>Original buttery spudsters ZGTF</t>
  </si>
  <si>
    <t>4/5#</t>
  </si>
  <si>
    <t>SIMPLOT SPUDSTERS -299028</t>
  </si>
  <si>
    <t xml:space="preserve">1cs of Spudsters 84.6/srv of 7@-1/2c. Starchy veg.            </t>
  </si>
  <si>
    <t>VEG. FROZEN, POTATO SWEET</t>
  </si>
  <si>
    <t xml:space="preserve">Flame Roasted Sweet Potatoes - Lightly seasoned sweet potato chunks with a </t>
  </si>
  <si>
    <t xml:space="preserve">6/2.5# </t>
  </si>
  <si>
    <t>SIMPLOT SWEET - 07561</t>
  </si>
  <si>
    <t xml:space="preserve">hand cut look, oven-roasted in a rich maple glaze. </t>
  </si>
  <si>
    <t xml:space="preserve">62.33SRV =3.85 OZ-1/2 cup srv of red/orange veg. per cs.     </t>
  </si>
  <si>
    <t>INCREASE</t>
  </si>
  <si>
    <t xml:space="preserve">   FRUIT &amp; VEGETABLES SUB-TOTAL:</t>
  </si>
  <si>
    <t>FRESH PRODUCE  *USA on everything possible* Locally Grown</t>
  </si>
  <si>
    <t>FRUIT, FRESH, APPLE SLICES</t>
  </si>
  <si>
    <t xml:space="preserve">Apples Fresh Sliced-                  </t>
  </si>
  <si>
    <t>100/2OZ</t>
  </si>
  <si>
    <t xml:space="preserve">NOI
</t>
  </si>
  <si>
    <t>APPLE SLICES PKG - USA-</t>
  </si>
  <si>
    <t>RICHLAND HILLS FARMS #10755276201251</t>
  </si>
  <si>
    <t>FRUIT, FRESH, BULK YELLOW</t>
  </si>
  <si>
    <t>45#</t>
  </si>
  <si>
    <t>APPLE GOLD DEL XFCY 125CT-WA</t>
  </si>
  <si>
    <t>FRUIT, FRESH, BULK RED</t>
  </si>
  <si>
    <t>APPLE RED DEL XFCY 125 CT- WA</t>
  </si>
  <si>
    <t>FRUIT, FRESH, BANANAS</t>
  </si>
  <si>
    <t xml:space="preserve">Dole, Banana's turning     </t>
  </si>
  <si>
    <t xml:space="preserve">40# </t>
  </si>
  <si>
    <t>Dole Turn 95/AVE or Equal To</t>
  </si>
  <si>
    <t>FRUIT, FRESH, BELL PEPPER</t>
  </si>
  <si>
    <r>
      <rPr>
        <sz val="9"/>
        <color theme="1"/>
        <rFont val="Arial"/>
      </rPr>
      <t xml:space="preserve">Bell peppers fresh-3-1/4"THICK SLICES=293-1/4 CUP SERVINGS    </t>
    </r>
    <r>
      <rPr>
        <b/>
        <sz val="9"/>
        <color theme="1"/>
        <rFont val="Arial"/>
      </rPr>
      <t>APRX</t>
    </r>
    <r>
      <rPr>
        <sz val="9"/>
        <color theme="1"/>
        <rFont val="Arial"/>
      </rPr>
      <t>-</t>
    </r>
    <r>
      <rPr>
        <b/>
        <sz val="9"/>
        <color theme="1"/>
        <rFont val="Arial"/>
      </rPr>
      <t>65CT</t>
    </r>
    <r>
      <rPr>
        <sz val="9"/>
        <color theme="1"/>
        <rFont val="Arial"/>
      </rPr>
      <t xml:space="preserve">                                 </t>
    </r>
  </si>
  <si>
    <t>25#</t>
  </si>
  <si>
    <t>VEG. FRESH, BROCCOLI</t>
  </si>
  <si>
    <r>
      <rPr>
        <sz val="9"/>
        <color theme="1"/>
        <rFont val="Arial"/>
      </rPr>
      <t>Broccoli Florets Fresh, iceless * USA</t>
    </r>
    <r>
      <rPr>
        <b/>
        <sz val="9"/>
        <color theme="1"/>
        <rFont val="Arial"/>
      </rPr>
      <t xml:space="preserve">                               </t>
    </r>
  </si>
  <si>
    <t xml:space="preserve">152 - 1/4c. srv of dark green veg per cs.      </t>
  </si>
  <si>
    <t>3#</t>
  </si>
  <si>
    <t>Taylor</t>
  </si>
  <si>
    <t>VEG. FRESH, CARROTS</t>
  </si>
  <si>
    <t xml:space="preserve">Whole peeled baby carrots-   Carrots individual pack *USA </t>
  </si>
  <si>
    <t>GRIMWAY - 200/1.6oz</t>
  </si>
  <si>
    <r>
      <rPr>
        <sz val="9"/>
        <color theme="1"/>
        <rFont val="Arial"/>
      </rPr>
      <t xml:space="preserve">Carrots whole baby  peeled - USA   </t>
    </r>
    <r>
      <rPr>
        <b/>
        <sz val="9"/>
        <color theme="1"/>
        <rFont val="Arial"/>
      </rPr>
      <t xml:space="preserve">  (36-1/2cup)   </t>
    </r>
  </si>
  <si>
    <t>6/1#</t>
  </si>
  <si>
    <t>GRIMWAY - WHL BABY PLD 6/1#</t>
  </si>
  <si>
    <t>FRUIT, FRESH, CANTALOUPES</t>
  </si>
  <si>
    <r>
      <rPr>
        <sz val="9"/>
        <color theme="1"/>
        <rFont val="Arial"/>
      </rPr>
      <t>Cantaloupe fresh- JUMBO-</t>
    </r>
    <r>
      <rPr>
        <b/>
        <sz val="9"/>
        <color theme="1"/>
        <rFont val="Arial"/>
      </rPr>
      <t>12 CT=96-1/2c srv</t>
    </r>
  </si>
  <si>
    <t>9-12CT</t>
  </si>
  <si>
    <t xml:space="preserve">PACKER or Equal To </t>
  </si>
  <si>
    <t xml:space="preserve">1/8 OF A JUMBO MELON = 1/2 FRUIT                                          </t>
  </si>
  <si>
    <t>VEG. FRESH, CAULIFLOWER</t>
  </si>
  <si>
    <t xml:space="preserve">Cauliflower Florets Fresh, iceless * USA                                                   </t>
  </si>
  <si>
    <t xml:space="preserve">2/3# </t>
  </si>
  <si>
    <t xml:space="preserve">152 - 1/4 c. srv of other veg per cs  </t>
  </si>
  <si>
    <t>VEG. FRESH, CELERY STICKS</t>
  </si>
  <si>
    <t>Celery Stix Fresh, iceless</t>
  </si>
  <si>
    <t xml:space="preserve">approx. 60-1/4c. Srv per 5# bag  </t>
  </si>
  <si>
    <t>FRUIT, FRESH, CLEMENTINES</t>
  </si>
  <si>
    <t>CLEMENTINES</t>
  </si>
  <si>
    <t>10/3#</t>
  </si>
  <si>
    <t>PACKER CLEMENTINES CHILE</t>
  </si>
  <si>
    <t>VEG. FRESH, CUCUMBERS</t>
  </si>
  <si>
    <r>
      <rPr>
        <sz val="9"/>
        <color theme="1"/>
        <rFont val="Arial"/>
      </rPr>
      <t>Cucumbers Fresh-</t>
    </r>
    <r>
      <rPr>
        <b/>
        <sz val="9"/>
        <color theme="1"/>
        <rFont val="Arial"/>
      </rPr>
      <t xml:space="preserve"> approx. 30-1/4c.srv of slices per 6ct cs </t>
    </r>
  </si>
  <si>
    <t>6CT</t>
  </si>
  <si>
    <t>DISTRIBUTORS CHOICE Packer</t>
  </si>
  <si>
    <r>
      <rPr>
        <sz val="9"/>
        <color theme="1"/>
        <rFont val="Arial"/>
      </rPr>
      <t xml:space="preserve">Cucumbers Fresh - </t>
    </r>
    <r>
      <rPr>
        <b/>
        <sz val="9"/>
        <color theme="1"/>
        <rFont val="Arial"/>
      </rPr>
      <t>approx. 120-1/4c srv of slices per 24ct cs</t>
    </r>
  </si>
  <si>
    <t>24CT</t>
  </si>
  <si>
    <t>Packer</t>
  </si>
  <si>
    <t>FRUIT, FRESH, GRAPES</t>
  </si>
  <si>
    <t>Grapes seedless fresh-RED</t>
  </si>
  <si>
    <t>18#</t>
  </si>
  <si>
    <t xml:space="preserve">Packer- GREEN </t>
  </si>
  <si>
    <t>Grapes seedless fresh-GREEN</t>
  </si>
  <si>
    <t>Packer- RED</t>
  </si>
  <si>
    <t>FRUIT, FRESH, GRAPEFRUIT</t>
  </si>
  <si>
    <r>
      <rPr>
        <sz val="9"/>
        <color theme="1"/>
        <rFont val="Arial"/>
      </rPr>
      <t xml:space="preserve">Grapefruit USA   </t>
    </r>
    <r>
      <rPr>
        <b/>
        <sz val="9"/>
        <color theme="1"/>
        <rFont val="Arial"/>
      </rPr>
      <t xml:space="preserve">   </t>
    </r>
  </si>
  <si>
    <t>48CT</t>
  </si>
  <si>
    <t xml:space="preserve">DISTRIBUTORS CHOICE - </t>
  </si>
  <si>
    <t>FRUIT, FRESH, HONEYDEW</t>
  </si>
  <si>
    <r>
      <rPr>
        <sz val="9"/>
        <color theme="1"/>
        <rFont val="Arial"/>
      </rPr>
      <t>Honeydew Melon fresh- JUMBO-</t>
    </r>
    <r>
      <rPr>
        <b/>
        <sz val="9"/>
        <color theme="1"/>
        <rFont val="Arial"/>
      </rPr>
      <t>6 CT=48-1/2c</t>
    </r>
  </si>
  <si>
    <t xml:space="preserve">1/8 OF A JUMBO MELON = 1/2 FRUIT                                        </t>
  </si>
  <si>
    <t>FRUIT, FRESH, KIWI</t>
  </si>
  <si>
    <t xml:space="preserve">Kiwi fruit fresh                        </t>
  </si>
  <si>
    <t>36CT</t>
  </si>
  <si>
    <t xml:space="preserve">6-1/4"SLICES = 1/4 CUP FRUIT                    </t>
  </si>
  <si>
    <t>FRUIT, FRESH, NECTARINES</t>
  </si>
  <si>
    <r>
      <rPr>
        <sz val="9"/>
        <color theme="1"/>
        <rFont val="Arial"/>
      </rPr>
      <t xml:space="preserve">Nectarines fresh *USA </t>
    </r>
    <r>
      <rPr>
        <b/>
        <sz val="9"/>
        <color theme="1"/>
        <rFont val="Arial"/>
      </rPr>
      <t>25#=54-56CT</t>
    </r>
  </si>
  <si>
    <t>54/56CT</t>
  </si>
  <si>
    <t xml:space="preserve">1 NECTARINE = 3/4 CUP FRUIT                    </t>
  </si>
  <si>
    <t>VEG. FRESH, ONIONS</t>
  </si>
  <si>
    <t xml:space="preserve">Onion red sweet jumbo *USA                                                </t>
  </si>
  <si>
    <t>PACKER - Red JMB SPL</t>
  </si>
  <si>
    <t>FRUIT, FRESH, ORANGES</t>
  </si>
  <si>
    <r>
      <rPr>
        <sz val="9"/>
        <color theme="1"/>
        <rFont val="Arial"/>
      </rPr>
      <t xml:space="preserve">Choice, navel oranges *USA </t>
    </r>
    <r>
      <rPr>
        <b/>
        <sz val="9"/>
        <color theme="1"/>
        <rFont val="Arial"/>
      </rPr>
      <t xml:space="preserve"> 1 whole - 138ct orange = 1/2c. Fruit srv.  PACK:138ct/40#cs</t>
    </r>
  </si>
  <si>
    <t>40#</t>
  </si>
  <si>
    <t>DISTRIBUTOR'S CHOICE 
SUNKIST</t>
  </si>
  <si>
    <t>FRUIT, FRESH, PEACHES</t>
  </si>
  <si>
    <t xml:space="preserve">Peaches Yellow 56C *USA                             </t>
  </si>
  <si>
    <t>54/56 CT</t>
  </si>
  <si>
    <t>PACKER</t>
  </si>
  <si>
    <t>1 PEACH = 3/8 CUP OF FRUIT</t>
  </si>
  <si>
    <t>FRUIT, FRESH, PEARS</t>
  </si>
  <si>
    <r>
      <rPr>
        <sz val="9"/>
        <color theme="1"/>
        <rFont val="Arial"/>
      </rPr>
      <t xml:space="preserve">Pears fresh *USA </t>
    </r>
    <r>
      <rPr>
        <b/>
        <sz val="9"/>
        <color theme="1"/>
        <rFont val="Arial"/>
      </rPr>
      <t>90-100 CT</t>
    </r>
  </si>
  <si>
    <t>Blue Star</t>
  </si>
  <si>
    <t>100 CT</t>
  </si>
  <si>
    <t>FRUIT, FRESH, PLUMS</t>
  </si>
  <si>
    <r>
      <rPr>
        <sz val="9"/>
        <color theme="1"/>
        <rFont val="Arial"/>
      </rPr>
      <t xml:space="preserve">Plums fresh *USA </t>
    </r>
    <r>
      <rPr>
        <b/>
        <sz val="9"/>
        <color theme="1"/>
        <rFont val="Arial"/>
      </rPr>
      <t>18#/60-65CT</t>
    </r>
  </si>
  <si>
    <t>60/65 VF</t>
  </si>
  <si>
    <t xml:space="preserve">1 PLUM = 1/2 CUP FRUIT                    </t>
  </si>
  <si>
    <t>VEG. FRESH, COLE SLAW</t>
  </si>
  <si>
    <t xml:space="preserve">SLAW MIX DICED/ CHOPPED </t>
  </si>
  <si>
    <t>DISTRIBUTORS CHOICE       5# bag</t>
  </si>
  <si>
    <t>BAGS</t>
  </si>
  <si>
    <t>VEG. FRESH, ROMAINE LETTUCE</t>
  </si>
  <si>
    <t xml:space="preserve">ROMAINE CHOPPED * USA*        </t>
  </si>
  <si>
    <t>DISTRIBUTORS CHOICE
GREENGATE</t>
  </si>
  <si>
    <t xml:space="preserve">VEG. FRESH, RADISH </t>
  </si>
  <si>
    <t xml:space="preserve">RADISH CELLO *USA    </t>
  </si>
  <si>
    <t>3/1#</t>
  </si>
  <si>
    <t>DISTRIBUTORS CHOICE- PACKER</t>
  </si>
  <si>
    <t>VEG. FRESH, SPINACH BABY</t>
  </si>
  <si>
    <t xml:space="preserve">Baby Spinach *USA*           </t>
  </si>
  <si>
    <t>4#</t>
  </si>
  <si>
    <t>DISTRIBUTORS CHOICE- GREENGATE</t>
  </si>
  <si>
    <t>FRUIT, FRESH, STRAWBERRIES</t>
  </si>
  <si>
    <t>STRAWBERRIES, FRESH</t>
  </si>
  <si>
    <t>8/1#</t>
  </si>
  <si>
    <t xml:space="preserve">APPROX. 31.6 -1/2 CUP SERVINGS PER CASE     </t>
  </si>
  <si>
    <t>Nature Ripe</t>
  </si>
  <si>
    <t>PER PINT</t>
  </si>
  <si>
    <t>VEG. FRESH, TOMATOES</t>
  </si>
  <si>
    <t xml:space="preserve">TOMATOES,BULK         5X6 #1 *USA        </t>
  </si>
  <si>
    <t xml:space="preserve">TOMATOES, GRAPE, *USA    5#=72-1/4c srv/3@      </t>
  </si>
  <si>
    <t>FRUIT, FRESH, WATERMELON</t>
  </si>
  <si>
    <t xml:space="preserve">WATERMELON FRESH *USA  (approx. 40-1/2c srv per 15# melon)   </t>
  </si>
  <si>
    <t>15#</t>
  </si>
  <si>
    <t>DISTRIBUTOR CHOICE- SEEDLESS</t>
  </si>
  <si>
    <r>
      <rPr>
        <b/>
        <sz val="12"/>
        <color rgb="FF000000"/>
        <rFont val="Arial"/>
      </rPr>
      <t>FRESH CUT FRUITS AND VEGETABLES TO BE USED FOR FFVP  ** 2 DAY LEAD TIME  **</t>
    </r>
    <r>
      <rPr>
        <b/>
        <sz val="12"/>
        <color rgb="FF000000"/>
        <rFont val="Arial"/>
      </rPr>
      <t xml:space="preserve"> </t>
    </r>
  </si>
  <si>
    <t>Usage is based on Fresh Fruit and Vegetable Grant Funding</t>
  </si>
  <si>
    <t>HONEYDEW CUP  (2DAY)</t>
  </si>
  <si>
    <t>48/2Z</t>
  </si>
  <si>
    <r>
      <rPr>
        <sz val="9"/>
        <color theme="1"/>
        <rFont val="Arial"/>
      </rPr>
      <t xml:space="preserve">UNITED FRUIT </t>
    </r>
    <r>
      <rPr>
        <sz val="9"/>
        <color theme="1"/>
        <rFont val="Arial"/>
      </rPr>
      <t xml:space="preserve">or Equal To
</t>
    </r>
  </si>
  <si>
    <t xml:space="preserve">KIWI CUP  (2DAY)             </t>
  </si>
  <si>
    <r>
      <rPr>
        <sz val="9"/>
        <color theme="1"/>
        <rFont val="Arial"/>
      </rPr>
      <t xml:space="preserve">UNITED FRUIT </t>
    </r>
    <r>
      <rPr>
        <sz val="9"/>
        <color theme="1"/>
        <rFont val="Arial"/>
      </rPr>
      <t xml:space="preserve">or Equal To
</t>
    </r>
  </si>
  <si>
    <t xml:space="preserve">MANGO CUP  (2DAY)         </t>
  </si>
  <si>
    <r>
      <rPr>
        <sz val="9"/>
        <color theme="1"/>
        <rFont val="Arial"/>
      </rPr>
      <t xml:space="preserve">UNITED FRUIT </t>
    </r>
    <r>
      <rPr>
        <sz val="9"/>
        <color theme="1"/>
        <rFont val="Arial"/>
      </rPr>
      <t xml:space="preserve">or Equal To
</t>
    </r>
  </si>
  <si>
    <t xml:space="preserve">PINEAPPLE CUP  (2DAY)     </t>
  </si>
  <si>
    <r>
      <rPr>
        <sz val="9"/>
        <color theme="1"/>
        <rFont val="Arial"/>
      </rPr>
      <t xml:space="preserve">UNITED FRUIT </t>
    </r>
    <r>
      <rPr>
        <sz val="9"/>
        <color theme="1"/>
        <rFont val="Arial"/>
      </rPr>
      <t xml:space="preserve">or Equal To
</t>
    </r>
  </si>
  <si>
    <t>PLEASE INDICATE BY ASTERISK(*) WHICH PRODUCE PRICES ARE GUARANTEED FOR THE YEAR.</t>
  </si>
  <si>
    <t>FRESH PRODUCE SUB-TOTAL:</t>
  </si>
  <si>
    <t>SUNDRY</t>
  </si>
  <si>
    <t>SUNDRY, BAKING, BUTTER</t>
  </si>
  <si>
    <t xml:space="preserve">Butter Solids Salted Real        </t>
  </si>
  <si>
    <t>36/1#</t>
  </si>
  <si>
    <t xml:space="preserve">Grassland Dairy -3050 or Equal to </t>
  </si>
  <si>
    <t>SUNDRY,BAKING  CAKE MIX, YELLOW</t>
  </si>
  <si>
    <r>
      <rPr>
        <sz val="9"/>
        <color rgb="FF000000"/>
        <rFont val="Arial"/>
      </rPr>
      <t>CAKE MIX YELLOW</t>
    </r>
    <r>
      <rPr>
        <sz val="9"/>
        <color rgb="FFFF0000"/>
        <rFont val="Arial"/>
      </rPr>
      <t xml:space="preserve"> </t>
    </r>
    <r>
      <rPr>
        <b/>
        <sz val="9"/>
        <color rgb="FFFF0000"/>
        <rFont val="Arial"/>
      </rPr>
      <t xml:space="preserve">(PLEASE ONLY BID PILLSBURY -DID TASTE TESTING DIDN'T LIKE OTHER PRODUCT)       </t>
    </r>
  </si>
  <si>
    <t>GENERAL MILLS 11391</t>
  </si>
  <si>
    <t>SUNDRY,BAKING, COCOA DROPS</t>
  </si>
  <si>
    <t xml:space="preserve">COCOA DROPS ROYAL ,4000      </t>
  </si>
  <si>
    <t xml:space="preserve">BLOMER - 36008 or Equal to </t>
  </si>
  <si>
    <t>SUNDRY,BAKING, COCOA POWDER</t>
  </si>
  <si>
    <r>
      <rPr>
        <sz val="9"/>
        <color theme="1"/>
        <rFont val="Arial"/>
      </rPr>
      <t xml:space="preserve">Ambrosia high fat cocoa powder                                                                                                  </t>
    </r>
    <r>
      <rPr>
        <b/>
        <sz val="9"/>
        <color theme="1"/>
        <rFont val="Arial"/>
      </rPr>
      <t>PACK:5#</t>
    </r>
  </si>
  <si>
    <t xml:space="preserve">Ambrosia - 19239-SPL or Equal to </t>
  </si>
  <si>
    <t>SUNDRY,BAKING, CORNBREAD</t>
  </si>
  <si>
    <t xml:space="preserve">Cornbread muffin mix sweet       </t>
  </si>
  <si>
    <t xml:space="preserve">Jiffy - 01041 or Equal to </t>
  </si>
  <si>
    <t>SUNDRY, BAKING, FLOUR</t>
  </si>
  <si>
    <t xml:space="preserve">Flour Ultra Grain T2-Whole grain rich blend 55% ultra grain &amp; 45% white.  </t>
  </si>
  <si>
    <t>50#</t>
  </si>
  <si>
    <t xml:space="preserve">ULTRAGRAIN - 39365 or Equal To </t>
  </si>
  <si>
    <t>SUNDRY, BAKING, MARSHMALLOW MINI</t>
  </si>
  <si>
    <t xml:space="preserve">MARSHMALLOW MINI </t>
  </si>
  <si>
    <t>DISTRIBUITORS CHOICE</t>
  </si>
  <si>
    <t>srv</t>
  </si>
  <si>
    <t>SUNDRY, BAKINIG, MOUSSE MIX</t>
  </si>
  <si>
    <t>MOUSSE MIX FAST  &amp; FANCY</t>
  </si>
  <si>
    <t>12/17Z</t>
  </si>
  <si>
    <t>FIRST Foods 4626900 or Equal To</t>
  </si>
  <si>
    <t>PER BAG</t>
  </si>
  <si>
    <t>SUNDRY, BAKING,  PAN SPRAY</t>
  </si>
  <si>
    <t>Food Release Canola Oil</t>
  </si>
  <si>
    <t>6/17Z</t>
  </si>
  <si>
    <t>UNIPRO PAN COATING CANOLA 61591</t>
  </si>
  <si>
    <t>PER CAN</t>
  </si>
  <si>
    <t>SUNDRY, BAKING, SHORTENING</t>
  </si>
  <si>
    <t xml:space="preserve">VEGETABLE SHORTENING ZERO TRANSFATS </t>
  </si>
  <si>
    <t>12/3#</t>
  </si>
  <si>
    <t xml:space="preserve">CRISCO 51500-24234 or Equal To </t>
  </si>
  <si>
    <t>SUNDRY, BAKING, CHICKEN BROTH</t>
  </si>
  <si>
    <t xml:space="preserve">100% Natural chicken broth 33% less sodium - Natural Goodness </t>
  </si>
  <si>
    <t>12/32Z</t>
  </si>
  <si>
    <t xml:space="preserve">SAWNSON #21957 or Equal To 
</t>
  </si>
  <si>
    <t>SUNDRY, BAKING, BEEF BROTH</t>
  </si>
  <si>
    <t xml:space="preserve">100% Natural beef broth 33% less sodium - Natural Goodness  </t>
  </si>
  <si>
    <t xml:space="preserve">SAWNSON # 21955 or Equal To </t>
  </si>
  <si>
    <t>SUNDRY, BAKING, SUGAR</t>
  </si>
  <si>
    <t xml:space="preserve">Truvia brown sugar baking blend                                       </t>
  </si>
  <si>
    <t>8/18Z</t>
  </si>
  <si>
    <t xml:space="preserve">TRUVIA # 110013157 or equal to </t>
  </si>
  <si>
    <t xml:space="preserve">Brown, medium, 25 Pound bags preferred ………………         </t>
  </si>
  <si>
    <t xml:space="preserve">DOMINO or Equal To </t>
  </si>
  <si>
    <t>Granulated, 25 pound bags preferred ……………………</t>
  </si>
  <si>
    <t xml:space="preserve">Powdered, 25 pound bags preferred …………………… </t>
  </si>
  <si>
    <t>SUNDRY, BAKING, VANILLA</t>
  </si>
  <si>
    <t xml:space="preserve">Vanilla Flavoring         </t>
  </si>
  <si>
    <t>32Z</t>
  </si>
  <si>
    <t>QUART</t>
  </si>
  <si>
    <t>SUNDRY, BAKING, VINEGAR</t>
  </si>
  <si>
    <t xml:space="preserve">Vinegar white distilled 5%                    </t>
  </si>
  <si>
    <t>4/1 GAL</t>
  </si>
  <si>
    <t>WOEBER 00212 or Equal To</t>
  </si>
  <si>
    <t>SUNDRY, CONDIMENT, JELLY</t>
  </si>
  <si>
    <t xml:space="preserve">JELLY, CONCORD GRAPE, 1/2 OZ                </t>
  </si>
  <si>
    <t>200/.5Z</t>
  </si>
  <si>
    <t xml:space="preserve">SMUCKER'S 00764 or Equal To </t>
  </si>
  <si>
    <t xml:space="preserve">SUNDRY, CONDIMENT, KETCHUP </t>
  </si>
  <si>
    <t>1000/9GM</t>
  </si>
  <si>
    <t>RED GOLD  11584/REDYL9G</t>
  </si>
  <si>
    <t>SUNDRY, CONDIMENT, BUTTER</t>
  </si>
  <si>
    <t xml:space="preserve">Real Butter whipped cups 5gm     </t>
  </si>
  <si>
    <t>720/5GM</t>
  </si>
  <si>
    <t>GRASSLAND - 7000</t>
  </si>
  <si>
    <t>SUNDRY,CONDIMENT, MIRACLE WHIP</t>
  </si>
  <si>
    <t>Kraft Miracle Whip "Lite" Dressing=half the calories and fat with all the tangy zip.</t>
  </si>
  <si>
    <t>200/12GM</t>
  </si>
  <si>
    <t>KRAFT 66366</t>
  </si>
  <si>
    <t xml:space="preserve">SUNDRY, CONDIMENT, MUSTARD </t>
  </si>
  <si>
    <t>Mustard packets</t>
  </si>
  <si>
    <t>PACK:500/4.5 gram per case</t>
  </si>
  <si>
    <t>500/5.5GM</t>
  </si>
  <si>
    <r>
      <rPr>
        <sz val="9"/>
        <color theme="1"/>
        <rFont val="Arial"/>
      </rPr>
      <t>Americana</t>
    </r>
    <r>
      <rPr>
        <sz val="9"/>
        <color theme="1"/>
        <rFont val="Arial"/>
      </rPr>
      <t xml:space="preserve"> #7002220</t>
    </r>
  </si>
  <si>
    <t>SUNDRY, CONDIMENT, PICKLE DILL</t>
  </si>
  <si>
    <r>
      <rPr>
        <sz val="9"/>
        <color theme="1"/>
        <rFont val="Arial"/>
      </rPr>
      <t xml:space="preserve">Processed Hamburger Dill Slice Pickles </t>
    </r>
    <r>
      <rPr>
        <sz val="9"/>
        <color rgb="FFFF0000"/>
        <rFont val="Arial"/>
      </rPr>
      <t>(370mg sodium per 7 slices of pickle)</t>
    </r>
  </si>
  <si>
    <t>5GAL</t>
  </si>
  <si>
    <t>BAY VALLEY - #09522840202</t>
  </si>
  <si>
    <t>PACK: 5 GAL-APPROX. 2000 -1/8" KK SLICES</t>
  </si>
  <si>
    <t>SUNDRY, CONDIMENT, SOUR CREAM</t>
  </si>
  <si>
    <t xml:space="preserve">Sour Cream Portion control packets, 1oz  </t>
  </si>
  <si>
    <t>100/1Z</t>
  </si>
  <si>
    <t xml:space="preserve">DAISY BRANDS 20100 </t>
  </si>
  <si>
    <t xml:space="preserve">Sour Cream  Regular                                                                           </t>
  </si>
  <si>
    <t>24/1.5#</t>
  </si>
  <si>
    <t>DAISY BRANDS 1007320003156</t>
  </si>
  <si>
    <t>SUNDRY, CONDIMENT, SYRUP</t>
  </si>
  <si>
    <t>Syrup pancake, sugar free 1 oz cup</t>
  </si>
  <si>
    <t>CF SAUER - 06384</t>
  </si>
  <si>
    <t>SUNDRY, BAKING, SYRUP</t>
  </si>
  <si>
    <t xml:space="preserve">Syrup pancake, Log Cabin                                   </t>
  </si>
  <si>
    <t>12/24Z</t>
  </si>
  <si>
    <t>CNTRYK - 43000-00066 or Equal To</t>
  </si>
  <si>
    <t>SUNDRY, CONDIMENT, TACO SAUCE</t>
  </si>
  <si>
    <t>Sauce Taco individual 9 gram packets</t>
  </si>
  <si>
    <t>500/9GM</t>
  </si>
  <si>
    <t>AMERICANA #00248</t>
  </si>
  <si>
    <t>SUNDRY, CONDIMENT, HOT SAUCE</t>
  </si>
  <si>
    <t xml:space="preserve">Sauce hot Texas Pete  </t>
  </si>
  <si>
    <t>200/7GM</t>
  </si>
  <si>
    <t>TEXAS # 00003- or Equal To</t>
  </si>
  <si>
    <t>SUNDRY, CONDIMENT, TARTAR SAUCE</t>
  </si>
  <si>
    <t xml:space="preserve">Tartar Sauce individual 12 gm sqz packets  </t>
  </si>
  <si>
    <t xml:space="preserve">KRAFT - # 66486 or Equal To </t>
  </si>
  <si>
    <t>SUNDRY, DRINK MIX</t>
  </si>
  <si>
    <r>
      <rPr>
        <sz val="9"/>
        <color theme="1"/>
        <rFont val="Arial"/>
      </rPr>
      <t>DRINK MIX each package makes 2 Gallons of product</t>
    </r>
    <r>
      <rPr>
        <b/>
        <sz val="9"/>
        <color theme="1"/>
        <rFont val="Arial"/>
      </rPr>
      <t xml:space="preserve">     </t>
    </r>
  </si>
  <si>
    <t>12/21.6Z</t>
  </si>
  <si>
    <t>DOMNDE LEMONADE- 1502</t>
  </si>
  <si>
    <t xml:space="preserve">DOMNDE PUNCH -1503 OR EQUAL TO </t>
  </si>
  <si>
    <t>SUNDRY, DRESSING, RANCH FF</t>
  </si>
  <si>
    <t xml:space="preserve">Single serve cup of traditional creamy ranch dressing w/out the fat.   </t>
  </si>
  <si>
    <t>120/1Z</t>
  </si>
  <si>
    <t xml:space="preserve">MARZETTI'S - 83985 or Equal To </t>
  </si>
  <si>
    <t>SUNDRY, DRESSING,BBQ SAUCE</t>
  </si>
  <si>
    <t xml:space="preserve">Sweet Hickory BBQ Sauce, Gluten Free, No high fructose corn syrup.  </t>
  </si>
  <si>
    <t>4/154Z</t>
  </si>
  <si>
    <t>COOKIE- 10503 or Equal To</t>
  </si>
  <si>
    <t>SUNDRY, DRESSING BALSAMIC VINAIGRETTE</t>
  </si>
  <si>
    <t xml:space="preserve">BALSAMIC VINAIGRETTE              </t>
  </si>
  <si>
    <t xml:space="preserve">MARZETTI'S 83201 or Equal To </t>
  </si>
  <si>
    <t>SUNDRY, DRESSING ITALIAN FF</t>
  </si>
  <si>
    <t xml:space="preserve">Dressing Italian fat free     </t>
  </si>
  <si>
    <t xml:space="preserve">MARZETTI'S 80087SPL or Equal To </t>
  </si>
  <si>
    <t>SUNDRY, DRESSING RANCH BULK</t>
  </si>
  <si>
    <t xml:space="preserve">Reduced calorie Ranch Dressing     </t>
  </si>
  <si>
    <t>OTT'S 01512 or Equal To</t>
  </si>
  <si>
    <t>SUNDRY, DRESSING MIRACLE WHIP LITE</t>
  </si>
  <si>
    <t xml:space="preserve">Miracle Whip, lite salad dressing    </t>
  </si>
  <si>
    <t xml:space="preserve">KRAFT - 64710 or Equal To </t>
  </si>
  <si>
    <t>SUNDRY, GRAVY PEPPERED L/S</t>
  </si>
  <si>
    <t xml:space="preserve">Conestoga Low Sodium Peppered Gravy Mix        </t>
  </si>
  <si>
    <t>12/12Z</t>
  </si>
  <si>
    <t>C.H. GUENTHER&amp;SON, INC. -99484</t>
  </si>
  <si>
    <t>SUNDRY, GRAY BEEF L/S</t>
  </si>
  <si>
    <t xml:space="preserve">Pioneer Low Sodium Roasted Beef Gravy Mix made with W/G  </t>
  </si>
  <si>
    <t>6/13Z</t>
  </si>
  <si>
    <t xml:space="preserve">PIONEER - 212646 or Equal To </t>
  </si>
  <si>
    <t>SUNDRY, GRAVY CHICKEN L/S</t>
  </si>
  <si>
    <t xml:space="preserve">Pioneer Low Sodium Roasted Chicken Gravy Mix made with W/G    </t>
  </si>
  <si>
    <t>6/14Z</t>
  </si>
  <si>
    <t xml:space="preserve">PIONEER - 212645  or Equal To </t>
  </si>
  <si>
    <t>SUNDRY, MILK, CHOCOLATE, FAT FREE</t>
  </si>
  <si>
    <t>CHOCOLATE, FAT FREE, 1/2 PINT CARTON</t>
  </si>
  <si>
    <t>TRUMOO #04583</t>
  </si>
  <si>
    <t>SUNDRY, MILK, 1%, WHITE</t>
  </si>
  <si>
    <t>1% WHITE 1/2 PINT CARTON</t>
  </si>
  <si>
    <t>DAIRYPURE #07691</t>
  </si>
  <si>
    <t>SUNDRY, MILK, UNFLAVORED, FAT FREE</t>
  </si>
  <si>
    <t>UNFLAVORED FAT FREE, 1/2 PINT CARTON</t>
  </si>
  <si>
    <t>DAIRYPURE #07714</t>
  </si>
  <si>
    <t>SUNDRY, MILK, STRAWBERRY FAT FREE</t>
  </si>
  <si>
    <t>STRAWBERRY FAT FREE, 1/2 PINT CARTON</t>
  </si>
  <si>
    <t>TRUMOO #07294</t>
  </si>
  <si>
    <t>SUNDRY, MILK DRY</t>
  </si>
  <si>
    <t>DISTIBUTOR'S CHOICE</t>
  </si>
  <si>
    <r>
      <rPr>
        <sz val="9"/>
        <color theme="1"/>
        <rFont val="Arial"/>
      </rPr>
      <t xml:space="preserve"> Sturm </t>
    </r>
    <r>
      <rPr>
        <sz val="9"/>
        <color theme="1"/>
        <rFont val="Arial"/>
      </rPr>
      <t xml:space="preserve"> #33227201836</t>
    </r>
  </si>
  <si>
    <t>SUNDRY, MILK HEAVY WHIPPING CREAM</t>
  </si>
  <si>
    <t xml:space="preserve">Cream whipping heavy 40%             </t>
  </si>
  <si>
    <t>DISTIBUTOR'S CHOICE- DAIRYS #01609</t>
  </si>
  <si>
    <t>FROZEN NOVELTIES</t>
  </si>
  <si>
    <t xml:space="preserve">BLUE BUNNY OR EQUAL TO </t>
  </si>
  <si>
    <t>SUNDRY, MILK, ICE CREAM FUDGE B.</t>
  </si>
  <si>
    <t xml:space="preserve">Blue ribbon classics fudge bar.      </t>
  </si>
  <si>
    <t>48/3Z</t>
  </si>
  <si>
    <t>FUDGE BAR - 1027703</t>
  </si>
  <si>
    <t>SUNDRY, MILK, ICE CREAM, ORANGE DREAM BAR</t>
  </si>
  <si>
    <t xml:space="preserve">Orange dream bar vanilla flavored red. Fat ice cream orange ff sherbet shell. </t>
  </si>
  <si>
    <t>ORANGE DREAM BAR- 1027728</t>
  </si>
  <si>
    <t>SUNDRY, MILK, ICE CREAM, VANILLA CONE</t>
  </si>
  <si>
    <t xml:space="preserve">Vanilla LF ice cream w/fudge ribbon in a sugar cone dipped in cookie pc.  </t>
  </si>
  <si>
    <t>VANILLA FUDGE SWIRL - 1098045</t>
  </si>
  <si>
    <t>SUNDRY, MILK, ICE CREAM, COOKIES'N CREAM CONE</t>
  </si>
  <si>
    <t xml:space="preserve">Cookies'n Cream LF ice cream in a choc. Sugar cone dipped in choc.       </t>
  </si>
  <si>
    <t>48/2.5Z</t>
  </si>
  <si>
    <t>COOKIES N' CREAM - 1114994</t>
  </si>
  <si>
    <t>SUNDRY, MILK, ICE CREAM SAND.</t>
  </si>
  <si>
    <t>Ice cream sandwich LF- vanilla flavored reduced fat ice cream sandwiched</t>
  </si>
  <si>
    <t>96/3Z</t>
  </si>
  <si>
    <t>SANDWICH - 1097801</t>
  </si>
  <si>
    <t xml:space="preserve">between 2 chocolate flavored wafers                                  </t>
  </si>
  <si>
    <t>SUNDRY, MILK, ICE CREAM, SUNDAE CHOC</t>
  </si>
  <si>
    <t xml:space="preserve">Cool Daze low fat chocolate sundae crunch bar  </t>
  </si>
  <si>
    <t>144/3Z</t>
  </si>
  <si>
    <t>LF CHOC - 1143526</t>
  </si>
  <si>
    <t>SUNDRY, MILK, ICE CREAM, SUNDAE STRAWBERRY</t>
  </si>
  <si>
    <t xml:space="preserve">Cool Daze low fat strawberry sundae crunch bar            </t>
  </si>
  <si>
    <r>
      <rPr>
        <sz val="9"/>
        <color theme="1"/>
        <rFont val="Arial"/>
      </rPr>
      <t>LF STRAW-</t>
    </r>
    <r>
      <rPr>
        <strike/>
        <sz val="9"/>
        <color theme="1"/>
        <rFont val="Arial"/>
      </rPr>
      <t xml:space="preserve"> </t>
    </r>
    <r>
      <rPr>
        <sz val="9"/>
        <color theme="1"/>
        <rFont val="Arial"/>
      </rPr>
      <t xml:space="preserve"> #1028011</t>
    </r>
  </si>
  <si>
    <t>SUNDRY, MILK, PUDDING</t>
  </si>
  <si>
    <t xml:space="preserve">Pudding butterscotch TFF cup                           </t>
  </si>
  <si>
    <t>48/3.5Z</t>
  </si>
  <si>
    <r>
      <rPr>
        <sz val="9"/>
        <color theme="1"/>
        <rFont val="Arial"/>
      </rPr>
      <t xml:space="preserve">FRESH - </t>
    </r>
    <r>
      <rPr>
        <sz val="9"/>
        <color theme="1"/>
        <rFont val="Arial"/>
      </rPr>
      <t>or Equal To #30895</t>
    </r>
  </si>
  <si>
    <t xml:space="preserve">Pudding chocolate TFF cup                                                        </t>
  </si>
  <si>
    <r>
      <rPr>
        <sz val="9"/>
        <color theme="1"/>
        <rFont val="Arial"/>
      </rPr>
      <t xml:space="preserve">FRESH - </t>
    </r>
    <r>
      <rPr>
        <sz val="9"/>
        <color theme="1"/>
        <rFont val="Arial"/>
      </rPr>
      <t>or Equal To #30889</t>
    </r>
  </si>
  <si>
    <t xml:space="preserve">Pudding vanilla TFF cup        </t>
  </si>
  <si>
    <r>
      <rPr>
        <sz val="9"/>
        <color theme="1"/>
        <rFont val="Arial"/>
      </rPr>
      <t xml:space="preserve">FRESH - </t>
    </r>
    <r>
      <rPr>
        <sz val="9"/>
        <color theme="1"/>
        <rFont val="Arial"/>
      </rPr>
      <t>or Equal To #30891</t>
    </r>
  </si>
  <si>
    <t>SUNDRY, MILK SOY</t>
  </si>
  <si>
    <t>Soy milk 8.25oz aseptic boxes, shelf stable</t>
  </si>
  <si>
    <t>KIKKOMAN PEARL chocolate #6185</t>
  </si>
  <si>
    <t xml:space="preserve">CHOCOLATE AND VANILLA                                               </t>
  </si>
  <si>
    <t>KIKKOMAN PEARL  vanilla #6184</t>
  </si>
  <si>
    <t>SUNDRY, MILK ALMOND</t>
  </si>
  <si>
    <t>Almond milk 8oz aseptic boxes, shelf stable</t>
  </si>
  <si>
    <t>18/8Z</t>
  </si>
  <si>
    <t>KIKKOMAN PEARL chocolate #136460</t>
  </si>
  <si>
    <t xml:space="preserve">CHOCOLATE AND VANILLA                                                           </t>
  </si>
  <si>
    <t>KIKKOMAN PEARL  vanilla #136461</t>
  </si>
  <si>
    <t>SUNDRY, SPICES, ALLSPICE</t>
  </si>
  <si>
    <t>Allspice Ground</t>
  </si>
  <si>
    <t>16Z</t>
  </si>
  <si>
    <t>CONTAINER</t>
  </si>
  <si>
    <t>MCCORMICK #932405</t>
  </si>
  <si>
    <t>SUNDRY, SPICES, BASIL</t>
  </si>
  <si>
    <t>Basil Leaves</t>
  </si>
  <si>
    <t>5Z</t>
  </si>
  <si>
    <t>SUNDRY, SPICES, CINNAMON</t>
  </si>
  <si>
    <t>Cinnamon Ground</t>
  </si>
  <si>
    <t xml:space="preserve">DISTRIBUTORS CHOICE </t>
  </si>
  <si>
    <t>HIGHLAND MARKET #1868701051</t>
  </si>
  <si>
    <t>SUNDRY, SPICES, CHILI POWDER</t>
  </si>
  <si>
    <t xml:space="preserve">Finest dark chili powder                                                               </t>
  </si>
  <si>
    <t>HIGHLAND MARKET #1868701026</t>
  </si>
  <si>
    <t>SUNDRY, SPICES, CREAM OF TARTAR</t>
  </si>
  <si>
    <t>CREAM OF TARTAR</t>
  </si>
  <si>
    <t>24Z</t>
  </si>
  <si>
    <t>HIGHLAND MARKET #03351</t>
  </si>
  <si>
    <t>SUNDRY, SPICES, CUMIN GROUND</t>
  </si>
  <si>
    <t xml:space="preserve">Ground cumin                     </t>
  </si>
  <si>
    <t>HIGHLAND MARET #03352</t>
  </si>
  <si>
    <t>SUNDRY, SPICES, GARLIC POWDER</t>
  </si>
  <si>
    <t>Garlic Powder</t>
  </si>
  <si>
    <t>19Z</t>
  </si>
  <si>
    <t>HIGHLAND MARKET #03479</t>
  </si>
  <si>
    <t>SUNDRY, SPICES, GINGER GROUND</t>
  </si>
  <si>
    <t>Ground Ginger</t>
  </si>
  <si>
    <t>14Z</t>
  </si>
  <si>
    <t>CODE #6250</t>
  </si>
  <si>
    <t>SUNDRY, SPICES, ITALIAN SEASONING</t>
  </si>
  <si>
    <t>Italian Seasoning Chopped</t>
  </si>
  <si>
    <t>6Z</t>
  </si>
  <si>
    <t>HIGHLAND MARKET #03450</t>
  </si>
  <si>
    <t>SUNDRY, SPICES, MONTREAL STEAK SEASONING</t>
  </si>
  <si>
    <r>
      <rPr>
        <sz val="9"/>
        <color theme="1"/>
        <rFont val="Arial"/>
      </rPr>
      <t xml:space="preserve">Montreal Steak Seasoning                                                                                              </t>
    </r>
    <r>
      <rPr>
        <b/>
        <sz val="9"/>
        <color theme="1"/>
        <rFont val="Arial"/>
      </rPr>
      <t>PACK:29 oz</t>
    </r>
  </si>
  <si>
    <t>29 Z</t>
  </si>
  <si>
    <t>McCormick - 900223228 or Equal To</t>
  </si>
  <si>
    <t>SUNDRY, SPICES, MUSTARD GROUND</t>
  </si>
  <si>
    <t>Mustard ground</t>
  </si>
  <si>
    <t>HIGHLAND MARKET #03377</t>
  </si>
  <si>
    <t>SUNDRY, SPICES, NUTMEG</t>
  </si>
  <si>
    <t>Nutmeg ground</t>
  </si>
  <si>
    <t>HIGHLAND MARKET #03379</t>
  </si>
  <si>
    <t>SUNDRY, SPICES, ONION FLAKES</t>
  </si>
  <si>
    <t>Dehydrated onion flakes</t>
  </si>
  <si>
    <t>Olam 1003609</t>
  </si>
  <si>
    <t>SUNDRY, SPICES, ONION POWDER</t>
  </si>
  <si>
    <t>Onion Powder</t>
  </si>
  <si>
    <t>20Z</t>
  </si>
  <si>
    <t>HIGHLAND MARKET #03482</t>
  </si>
  <si>
    <t>SUNDRY, SPICES, OREGANO</t>
  </si>
  <si>
    <t>Oregano Leaves</t>
  </si>
  <si>
    <t>HIGHLAND MARKET #03456</t>
  </si>
  <si>
    <t>SUNDRY, SPICES, PAPRIKA</t>
  </si>
  <si>
    <t>Paprika Finest Extra Fancy</t>
  </si>
  <si>
    <t>HIGHLAND MARKET #03384</t>
  </si>
  <si>
    <t>SUNDRY, SPICES, PARSLEY</t>
  </si>
  <si>
    <t>Parsley Flakes</t>
  </si>
  <si>
    <t>2Z</t>
  </si>
  <si>
    <t>HIGHLAND MARKE T#03390</t>
  </si>
  <si>
    <t>SUNDRY, SPICES, PEPPER</t>
  </si>
  <si>
    <t xml:space="preserve">Pepper Black Ground                     </t>
  </si>
  <si>
    <t>DISTRIBUTORS CHOICE HIGHLAND MARKET #03302</t>
  </si>
  <si>
    <t xml:space="preserve">Pepper Cayenne                              </t>
  </si>
  <si>
    <t>HIGHLAND MARKET #03393</t>
  </si>
  <si>
    <t xml:space="preserve">Pepper White Ground             </t>
  </si>
  <si>
    <t>1#</t>
  </si>
  <si>
    <t>HIGHLAND MARKET #03405</t>
  </si>
  <si>
    <t xml:space="preserve">Pepper Lemon Salt Free                </t>
  </si>
  <si>
    <t>26#</t>
  </si>
  <si>
    <t>HIGHLAND MARKET #03428</t>
  </si>
  <si>
    <t>SUNDRY, SPICES, POULTRY</t>
  </si>
  <si>
    <t>Poultry Seasoning</t>
  </si>
  <si>
    <t>10Z</t>
  </si>
  <si>
    <t>Code 7480</t>
  </si>
  <si>
    <t>SUNDRY, SPICES, SAGE</t>
  </si>
  <si>
    <t>Rubbed Sage</t>
  </si>
  <si>
    <t>HIGHLAND MARKET #03412</t>
  </si>
  <si>
    <t>SUNDRY, SPICES, THYME</t>
  </si>
  <si>
    <t>Thyme Ground</t>
  </si>
  <si>
    <t>12Z</t>
  </si>
  <si>
    <t>HIGHLAND MARKET #03432</t>
  </si>
  <si>
    <t>SUNDRY, SPICES, SALT FREE</t>
  </si>
  <si>
    <t>Spices &amp; Seasoning Salt Free to use at flavor station for kids.</t>
  </si>
  <si>
    <t>3/21Z</t>
  </si>
  <si>
    <t>DISTRIBUTORS CHOICE- MRS. DASH 
#80260328 used in extention</t>
  </si>
  <si>
    <t>List flavors available with PACK size on Tab 3</t>
  </si>
  <si>
    <t xml:space="preserve">SMOOTHIES, 100% REAL FRUIT </t>
  </si>
  <si>
    <r>
      <rPr>
        <sz val="9"/>
        <color theme="1"/>
        <rFont val="Arial"/>
      </rPr>
      <t>SWITCH BEV 100% FRUIT STRAWBERRY/BANANA SMOOTHIE</t>
    </r>
    <r>
      <rPr>
        <b/>
        <sz val="9"/>
        <color theme="1"/>
        <rFont val="Arial"/>
      </rPr>
      <t xml:space="preserve">       </t>
    </r>
  </si>
  <si>
    <r>
      <rPr>
        <sz val="9"/>
        <color theme="1"/>
        <rFont val="Arial"/>
      </rPr>
      <t>SWITCH BEV 100% FRUIT MANGO SMOOTHIE</t>
    </r>
    <r>
      <rPr>
        <b/>
        <sz val="9"/>
        <color theme="1"/>
        <rFont val="Arial"/>
      </rPr>
      <t xml:space="preserve">                                 </t>
    </r>
  </si>
  <si>
    <t>SUNDRY, WATER</t>
  </si>
  <si>
    <t xml:space="preserve">WATER SPRING FLAT CAP              </t>
  </si>
  <si>
    <t>24/16.9Z</t>
  </si>
  <si>
    <t xml:space="preserve">INTEG # 17040 OR EQUAL TO </t>
  </si>
  <si>
    <t>SUNDRY, TEA</t>
  </si>
  <si>
    <r>
      <rPr>
        <b/>
        <sz val="9"/>
        <color theme="1"/>
        <rFont val="Arial"/>
      </rPr>
      <t xml:space="preserve">TEA BAGS ICED 1OZ                   </t>
    </r>
    <r>
      <rPr>
        <sz val="9"/>
        <color theme="1"/>
        <rFont val="Arial"/>
      </rPr>
      <t xml:space="preserve">                        </t>
    </r>
  </si>
  <si>
    <t>96/1Z</t>
  </si>
  <si>
    <t>Distributor's Choice JPT 83810</t>
  </si>
  <si>
    <t xml:space="preserve">SUNDRY SUB TOTAL:     </t>
  </si>
  <si>
    <t>PAPER SUPPLIES</t>
  </si>
  <si>
    <t>PAPER,  3 COMP FOAM HINGED</t>
  </si>
  <si>
    <t>3 COMPARTMENT TRAY- Foam with hinged lid w/safety lock lid 9.5 X 9.25 X 3</t>
  </si>
  <si>
    <t>200CT</t>
  </si>
  <si>
    <t>DART 95HTPF3</t>
  </si>
  <si>
    <t>PAPER, 5 COMP TRAY</t>
  </si>
  <si>
    <t>5 COMPARTMENT TRAY - 8.25x10.25</t>
  </si>
  <si>
    <t>4/125CT</t>
  </si>
  <si>
    <t>Pactiv YTH1-0500</t>
  </si>
  <si>
    <t>PAPER, 5 COMP TRAY, COMPOSTABLE</t>
  </si>
  <si>
    <t>5 COMPARTMENT TRAY Enviroware</t>
  </si>
  <si>
    <t>500CT</t>
  </si>
  <si>
    <t>DISTRIBUTOR'S  CHOICE- D&amp;W #FTD-500-CMP</t>
  </si>
  <si>
    <t>PAPER, BAGS RECLOSABLE</t>
  </si>
  <si>
    <t>Low Density Reclosable Bags</t>
  </si>
  <si>
    <t xml:space="preserve">SANDWICH </t>
  </si>
  <si>
    <t>500 CT</t>
  </si>
  <si>
    <t>Inteplast RZIP-SAND</t>
  </si>
  <si>
    <r>
      <rPr>
        <sz val="9"/>
        <color theme="1"/>
        <rFont val="Arial"/>
      </rPr>
      <t>QUART</t>
    </r>
    <r>
      <rPr>
        <b/>
        <sz val="9"/>
        <color theme="1"/>
        <rFont val="Arial"/>
      </rPr>
      <t xml:space="preserve"> </t>
    </r>
  </si>
  <si>
    <t xml:space="preserve">Inteplast RZIP-QRT </t>
  </si>
  <si>
    <t xml:space="preserve">GALLON </t>
  </si>
  <si>
    <t>250 CT</t>
  </si>
  <si>
    <t>Inteplast RZIP-GAL</t>
  </si>
  <si>
    <t>PAPER, BAGS SANDWICH CLEAR</t>
  </si>
  <si>
    <t xml:space="preserve">Saddle Pack - Sandwich bag Clear 5.5x5.5        </t>
  </si>
  <si>
    <t>2000 CT</t>
  </si>
  <si>
    <t>DISTRIBUTOR'S CHOICE - PC55-SP</t>
  </si>
  <si>
    <t xml:space="preserve">Deli Saddle Pack - 10 x8.5 w/2.5" lip               </t>
  </si>
  <si>
    <t>DISTRIBUTOR'S CHOICE - PB1085P-SP</t>
  </si>
  <si>
    <t>SOUFFLE CUPS, FOAM BOWLS, AND LIDS</t>
  </si>
  <si>
    <t>Distributors Choice</t>
  </si>
  <si>
    <t xml:space="preserve">4oz Souffle Cup Polypro              </t>
  </si>
  <si>
    <t>20/125=2500</t>
  </si>
  <si>
    <t>4oz Souffle Cup (400PC)</t>
  </si>
  <si>
    <t>4oz Souffle Lid (PL4N)</t>
  </si>
  <si>
    <t>20/50=1000</t>
  </si>
  <si>
    <t>4oz Cup SQUAT DART (4J6)</t>
  </si>
  <si>
    <t>10/100=1000</t>
  </si>
  <si>
    <t>4oz Vented Lid (6JL)</t>
  </si>
  <si>
    <t>6oz foam bowl (6B20)</t>
  </si>
  <si>
    <t>6oz/8oz Vented Lid (20JL)</t>
  </si>
  <si>
    <t>8oz foam bowl (8B20)</t>
  </si>
  <si>
    <t>12oz foam bowl (12B32)</t>
  </si>
  <si>
    <t>12oz vented lid or lid foam (prefer vented to help save cost)                                            CS:10/50 = 500</t>
  </si>
  <si>
    <t>10/50=500</t>
  </si>
  <si>
    <t>Dart - 32JL or 32RL</t>
  </si>
  <si>
    <t xml:space="preserve">GLOVE, SERVING, VINYL, POWDER FREE- NON- LATEX - FOOD SERVICE </t>
  </si>
  <si>
    <t>Handgards or Equal to</t>
  </si>
  <si>
    <t>PAPER, GLOVES, VINYL P.F.</t>
  </si>
  <si>
    <t xml:space="preserve">                                                              non-allergenic, synthetic, powder free.</t>
  </si>
  <si>
    <t>10/100</t>
  </si>
  <si>
    <t>SML - INTEPLAST #VF001</t>
  </si>
  <si>
    <r>
      <rPr>
        <sz val="9"/>
        <color theme="1"/>
        <rFont val="Arial"/>
      </rPr>
      <t xml:space="preserve">MED - </t>
    </r>
    <r>
      <rPr>
        <sz val="9"/>
        <color theme="1"/>
        <rFont val="Arial"/>
      </rPr>
      <t>INTEPLAST #VF002</t>
    </r>
  </si>
  <si>
    <t>10/120</t>
  </si>
  <si>
    <r>
      <rPr>
        <sz val="9"/>
        <color theme="1"/>
        <rFont val="Arial"/>
      </rPr>
      <t>LRG-I</t>
    </r>
    <r>
      <rPr>
        <sz val="9"/>
        <color theme="1"/>
        <rFont val="Arial"/>
      </rPr>
      <t>NTEPLAST #VF003</t>
    </r>
  </si>
  <si>
    <r>
      <rPr>
        <sz val="9"/>
        <color theme="1"/>
        <rFont val="Arial"/>
      </rPr>
      <t xml:space="preserve">X-Large - </t>
    </r>
    <r>
      <rPr>
        <sz val="9"/>
        <color theme="1"/>
        <rFont val="Arial"/>
      </rPr>
      <t>INTEPLAST #VF004</t>
    </r>
  </si>
  <si>
    <t>PAPER, FOOD TRAY RED PLAID</t>
  </si>
  <si>
    <t xml:space="preserve">FOOD TRAY, PAPER #100 (USE FOR NACHOS)           </t>
  </si>
  <si>
    <t>4/250</t>
  </si>
  <si>
    <t>#100 - DISTRIBUTORS CHOICE</t>
  </si>
  <si>
    <t xml:space="preserve">FOOD TRAY, PAPER- #200                                </t>
  </si>
  <si>
    <t>#200 - DISTRIBUTORS CHOICE</t>
  </si>
  <si>
    <t>PAPER, FILM</t>
  </si>
  <si>
    <t xml:space="preserve">Film Cling 24 x 2000                   </t>
  </si>
  <si>
    <t>1 ROLL</t>
  </si>
  <si>
    <r>
      <rPr>
        <sz val="9"/>
        <color theme="1"/>
        <rFont val="Arial"/>
      </rPr>
      <t>DITRIBUTOR'S CHOICE -</t>
    </r>
    <r>
      <rPr>
        <strike/>
        <sz val="9"/>
        <color theme="1"/>
        <rFont val="Arial"/>
      </rPr>
      <t xml:space="preserve">
</t>
    </r>
    <r>
      <rPr>
        <sz val="9"/>
        <color theme="1"/>
        <rFont val="Arial"/>
      </rPr>
      <t>COMPANION #1868700036</t>
    </r>
  </si>
  <si>
    <r>
      <rPr>
        <sz val="9"/>
        <color theme="1"/>
        <rFont val="Arial"/>
      </rPr>
      <t xml:space="preserve">Film Cling 18 x 2000          </t>
    </r>
    <r>
      <rPr>
        <b/>
        <sz val="9"/>
        <color theme="1"/>
        <rFont val="Arial"/>
      </rPr>
      <t xml:space="preserve">    </t>
    </r>
  </si>
  <si>
    <t>COMPANION #18687-00034</t>
  </si>
  <si>
    <t>PAPER, FOIL</t>
  </si>
  <si>
    <t xml:space="preserve">ALUMINUM FOIL - 18 INCHES BY 1000 FEET    </t>
  </si>
  <si>
    <r>
      <rPr>
        <sz val="9"/>
        <color theme="1"/>
        <rFont val="Arial"/>
      </rPr>
      <t>Regular Durable</t>
    </r>
    <r>
      <rPr>
        <sz val="9"/>
        <color theme="1"/>
        <rFont val="Arial"/>
      </rPr>
      <t xml:space="preserve"> or Equal To COMPAN #584468</t>
    </r>
  </si>
  <si>
    <t>ROLL</t>
  </si>
  <si>
    <t>PAPER, TOWEL ROLL</t>
  </si>
  <si>
    <t>100% RECYCLED &amp; ECO LOGO CERTIFIED HAND TOWEL ROLL</t>
  </si>
  <si>
    <t>6/ROLL</t>
  </si>
  <si>
    <t>SCA- TORK - 290088</t>
  </si>
  <si>
    <t>PACK:6 ROLLS/884 SHEETS PER ROLL-5304 SHEETS PER CS</t>
  </si>
  <si>
    <t>PAPER,  EXPRESS NAPKINS</t>
  </si>
  <si>
    <t>100% RECYCLED &amp; EPA COMPLIANT CONTAINS MIN 40% POST CONSUMER</t>
  </si>
  <si>
    <t>12/500</t>
  </si>
  <si>
    <t xml:space="preserve">SCA TISSUE-DX906E or Equal To </t>
  </si>
  <si>
    <t xml:space="preserve"> WASTE</t>
  </si>
  <si>
    <t>PAPER, SPOONS</t>
  </si>
  <si>
    <t>Spoon tea medium polypropylene</t>
  </si>
  <si>
    <t>1000 CT</t>
  </si>
  <si>
    <t xml:space="preserve">Berkley BR3000 or Equal To </t>
  </si>
  <si>
    <t>PAPER, FORK</t>
  </si>
  <si>
    <t>Fork medium polypropylene</t>
  </si>
  <si>
    <t>Berkley BR2000</t>
  </si>
  <si>
    <t>PAPER, SPORK KIT</t>
  </si>
  <si>
    <t>Spork, Napkin, Straw kit</t>
  </si>
  <si>
    <t>Berkley 5670</t>
  </si>
  <si>
    <t>PAPER, PAN LINERS</t>
  </si>
  <si>
    <t>Quilon paper baking pan liner, 1000ct, 16x24</t>
  </si>
  <si>
    <t>DISTRIBUTOR'S CHOICE- BAGCRAFT #030001</t>
  </si>
  <si>
    <t>PAN LINER STMTBL, OVENABLE HI-HT</t>
  </si>
  <si>
    <t xml:space="preserve">PanHandlers ovenable pan liners clear nylon 34'x16" Bake up to 400°F full pan  </t>
  </si>
  <si>
    <t>HANDGARDS - 304985022 or Equal To</t>
  </si>
  <si>
    <t>TRASH CAN LINER, 60 GAL</t>
  </si>
  <si>
    <r>
      <rPr>
        <sz val="9"/>
        <color theme="1"/>
        <rFont val="Arial"/>
      </rPr>
      <t>LINER 38X58 60G</t>
    </r>
    <r>
      <rPr>
        <b/>
        <sz val="9"/>
        <color theme="1"/>
        <rFont val="Arial"/>
      </rPr>
      <t xml:space="preserve"> 1.5ML BLK   </t>
    </r>
    <r>
      <rPr>
        <sz val="9"/>
        <color theme="1"/>
        <rFont val="Arial"/>
      </rPr>
      <t xml:space="preserve">                                            </t>
    </r>
  </si>
  <si>
    <t>PITT PLASTICS INC - COMPAN - # or Equal To</t>
  </si>
  <si>
    <t xml:space="preserve">PAPER SUB TOTAL:     </t>
  </si>
  <si>
    <t>CLEANING SUPPLIES</t>
  </si>
  <si>
    <t>CLEANER - DISH LIQUID</t>
  </si>
  <si>
    <t>Liquid detergent for manual washing of pots and pans</t>
  </si>
  <si>
    <t>8/38Z</t>
  </si>
  <si>
    <t>DAWN 45112 or Equal To</t>
  </si>
  <si>
    <t>CLEANER- BLEACH</t>
  </si>
  <si>
    <t>Bleach ultra germicidal- Disinfects, Sanitizes &amp; Deodorizes Hard Nonporous Surfaces,</t>
  </si>
  <si>
    <t>3/121Z</t>
  </si>
  <si>
    <t>CLOROX- 30966 or Equal To</t>
  </si>
  <si>
    <t xml:space="preserve">Meets EPA Guidelines for sanitizing food contact surfaces.   </t>
  </si>
  <si>
    <t>CLEANER, LAUNDRY DETERGENT</t>
  </si>
  <si>
    <t>Soap Liquid H.E. 2XConcentrate 64 Load</t>
  </si>
  <si>
    <t>4/100Z</t>
  </si>
  <si>
    <t>PROCTER &amp; GAMBLE - TIDE # 08886 or Equal To</t>
  </si>
  <si>
    <t xml:space="preserve">CLEANER, DEGREASER </t>
  </si>
  <si>
    <t>INTERCON -64541 or Equal To</t>
  </si>
  <si>
    <t xml:space="preserve">CLEANER- QUAT SANITIZER </t>
  </si>
  <si>
    <t xml:space="preserve">QUAT SANITIZER -for dish sanitation and food surfaces                  </t>
  </si>
  <si>
    <t>DISTRIBUTORS CHOICE
INTERCON #23441</t>
  </si>
  <si>
    <t xml:space="preserve">CLEANING SUPPLIES SUB TOTAL:     </t>
  </si>
  <si>
    <t>VENDOR QUESTIONNAIRE</t>
  </si>
  <si>
    <t xml:space="preserve">                Any items not on this bid which district wishes to purchase will be supplied at cost plus    </t>
  </si>
  <si>
    <t>SUB-TOTALS</t>
  </si>
  <si>
    <t># OF ITEMS BID</t>
  </si>
  <si>
    <t xml:space="preserve"> TOTAL ITEMS</t>
  </si>
  <si>
    <t>ITEMS</t>
  </si>
  <si>
    <t>MEAT</t>
  </si>
  <si>
    <t>decrease</t>
  </si>
  <si>
    <t>GRAINS</t>
  </si>
  <si>
    <t>increase</t>
  </si>
  <si>
    <t>FRUIT-VEG.</t>
  </si>
  <si>
    <t>FRESH PRODUCE</t>
  </si>
  <si>
    <t>PAPER</t>
  </si>
  <si>
    <t>GRAND TOTAL</t>
  </si>
  <si>
    <t>increase across the board</t>
  </si>
  <si>
    <t>SIGNATURES</t>
  </si>
  <si>
    <t>This form must be signed by the owner or officer of the company submitting the bid.</t>
  </si>
  <si>
    <t xml:space="preserve">Authorized Signature:                                                                              </t>
  </si>
  <si>
    <t>Date:</t>
  </si>
  <si>
    <t xml:space="preserve">Printed Name and Title:     </t>
  </si>
  <si>
    <t xml:space="preserve">Firm or Corporation Name:    </t>
  </si>
  <si>
    <t xml:space="preserve">Address, City, State, and Zip Code:  </t>
  </si>
  <si>
    <t>Phone Number:</t>
  </si>
  <si>
    <t xml:space="preserve">           
Fax number:               </t>
  </si>
  <si>
    <t xml:space="preserve">CLEANER/DEGREASER ORANGE ZAP                                                                        </t>
  </si>
  <si>
    <t xml:space="preserve">4oz Souffle Lid (3.25oz, 4oz, 5.5oz)                                                     </t>
  </si>
  <si>
    <t xml:space="preserve">4oz Container Foam Squat                                                                 </t>
  </si>
  <si>
    <t xml:space="preserve">4oz Vented Lid (4J6, 6J6)                                                                      </t>
  </si>
  <si>
    <t xml:space="preserve">6oz bowl                                                                                                    </t>
  </si>
  <si>
    <t xml:space="preserve">6oz/8oz vented lid (8,12SJ20,16MJ20)                                               </t>
  </si>
  <si>
    <t xml:space="preserve">8oz bowl                                                                                                  </t>
  </si>
  <si>
    <t xml:space="preserve">12oz bowl                                                                                                  </t>
  </si>
  <si>
    <t>Agglomerated Instant Nonfat Dry Milk made from fresh, wholesome milk</t>
  </si>
  <si>
    <t xml:space="preserve"> w/moisture removed, rich in calcium and proteins.                              </t>
  </si>
  <si>
    <t>200/12.4GM</t>
  </si>
  <si>
    <t>Red Gold 9 gram portion control packets 100% Natural ketchup made with</t>
  </si>
  <si>
    <t xml:space="preserve"> sugar 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</si>
</sst>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164" formatCode="00000"/>
    <numFmt numFmtId="165" formatCode="#,##0.000"/>
    <numFmt numFmtId="166" formatCode="0.0%"/>
    <numFmt numFmtId="167" formatCode="&quot;$&quot;#,##0.00"/>
    <numFmt numFmtId="168" formatCode="_(&quot;$&quot;* #,##0.0000_);_(&quot;$&quot;* \(#,##0.0000\);_(&quot;$&quot;* &quot;-&quot;??.0_);_(@_)"/>
    <numFmt numFmtId="169" formatCode="_(&quot;$&quot;* #,##0.00_);_(&quot;$&quot;* \(#,##0.00\);_(&quot;$&quot;* &quot;-&quot;????_);_(@_)"/>
    <numFmt numFmtId="170" formatCode="_(&quot;$&quot;* #,##0.0000_);_(&quot;$&quot;* \(#,##0.0000\);_(&quot;$&quot;* &quot;-&quot;??_);_(@_)"/>
  </numFmts>
  <fonts count="62">
    <font>
      <sz val="11"/>
      <color theme="1"/>
      <name val="Arial"/>
    </font>
    <font>
      <b/>
      <sz val="16"/>
      <color theme="1"/>
      <name val="Arial"/>
    </font>
    <font>
      <b/>
      <sz val="9"/>
      <color theme="1"/>
      <name val="Arial"/>
    </font>
    <font>
      <b/>
      <sz val="9"/>
      <color rgb="FF000000"/>
      <name val="Arial"/>
    </font>
    <font>
      <sz val="11"/>
      <color theme="1"/>
      <name val="Calibri"/>
    </font>
    <font>
      <sz val="12"/>
      <color theme="1"/>
      <name val="Arial"/>
    </font>
    <font>
      <sz val="12"/>
      <color rgb="FF000000"/>
      <name val="Arial"/>
    </font>
    <font>
      <b/>
      <sz val="14"/>
      <color theme="1"/>
      <name val="Arial"/>
    </font>
    <font>
      <sz val="11"/>
      <name val="Arial"/>
    </font>
    <font>
      <sz val="14"/>
      <color theme="1"/>
      <name val="Calibri"/>
    </font>
    <font>
      <b/>
      <sz val="8"/>
      <color theme="1"/>
      <name val="Arial"/>
    </font>
    <font>
      <sz val="9"/>
      <color theme="1"/>
      <name val="Arial"/>
    </font>
    <font>
      <b/>
      <sz val="18"/>
      <color rgb="FFFFFFFF"/>
      <name val="Arial"/>
    </font>
    <font>
      <sz val="18"/>
      <color theme="1"/>
      <name val="Calibri"/>
    </font>
    <font>
      <b/>
      <sz val="9"/>
      <color rgb="FFFF0000"/>
      <name val="Arial"/>
    </font>
    <font>
      <b/>
      <sz val="12"/>
      <color theme="1"/>
      <name val="Arial"/>
    </font>
    <font>
      <b/>
      <sz val="11"/>
      <color theme="1"/>
      <name val="Calibri"/>
    </font>
    <font>
      <sz val="9"/>
      <color rgb="FF000000"/>
      <name val="Arial"/>
    </font>
    <font>
      <sz val="9"/>
      <color rgb="FFFF0000"/>
      <name val="Arial"/>
    </font>
    <font>
      <b/>
      <sz val="12"/>
      <color rgb="FFFF0000"/>
      <name val="Arial"/>
    </font>
    <font>
      <sz val="9"/>
      <color rgb="FF333333"/>
      <name val="Arial"/>
    </font>
    <font>
      <sz val="9"/>
      <color rgb="FF000000"/>
      <name val="Merriweather"/>
    </font>
    <font>
      <sz val="8"/>
      <color theme="1"/>
      <name val="Arial"/>
    </font>
    <font>
      <b/>
      <sz val="8"/>
      <color theme="1"/>
      <name val="Calibri"/>
    </font>
    <font>
      <sz val="8"/>
      <color theme="1"/>
      <name val="Calibri"/>
    </font>
    <font>
      <b/>
      <sz val="11"/>
      <color rgb="FFFF0000"/>
      <name val="Calibri"/>
    </font>
    <font>
      <sz val="9"/>
      <color theme="1"/>
      <name val="Calibri"/>
    </font>
    <font>
      <b/>
      <sz val="18"/>
      <color theme="1"/>
      <name val="Arial"/>
    </font>
    <font>
      <b/>
      <sz val="18"/>
      <color theme="1"/>
      <name val="Calibri"/>
    </font>
    <font>
      <b/>
      <sz val="18"/>
      <color rgb="FFFF0000"/>
      <name val="Calibri"/>
    </font>
    <font>
      <sz val="8"/>
      <color rgb="FF000000"/>
      <name val="Arial"/>
    </font>
    <font>
      <sz val="10"/>
      <color theme="1"/>
      <name val="Arial"/>
    </font>
    <font>
      <b/>
      <sz val="8"/>
      <color rgb="FFFF0000"/>
      <name val="Arial"/>
    </font>
    <font>
      <sz val="8"/>
      <color rgb="FFFF0000"/>
      <name val="Arial"/>
    </font>
    <font>
      <b/>
      <sz val="18"/>
      <color rgb="FFFF0000"/>
      <name val="Arial"/>
    </font>
    <font>
      <sz val="9"/>
      <color rgb="FF282828"/>
      <name val="Arial"/>
    </font>
    <font>
      <b/>
      <strike/>
      <sz val="9"/>
      <color rgb="FFFF0000"/>
      <name val="Arial"/>
    </font>
    <font>
      <b/>
      <sz val="18"/>
      <color rgb="FF000000"/>
      <name val="Calibri"/>
    </font>
    <font>
      <b/>
      <sz val="12"/>
      <color rgb="FF000000"/>
      <name val="Arial"/>
    </font>
    <font>
      <sz val="12"/>
      <color theme="1"/>
      <name val="Calibri"/>
    </font>
    <font>
      <b/>
      <sz val="12"/>
      <color theme="1"/>
      <name val="Calibri"/>
    </font>
    <font>
      <b/>
      <sz val="9"/>
      <color rgb="FFFFFFFF"/>
      <name val="Arial"/>
    </font>
    <font>
      <b/>
      <sz val="12"/>
      <color rgb="FFFFFFFF"/>
      <name val="Arial"/>
    </font>
    <font>
      <b/>
      <strike/>
      <sz val="12"/>
      <color theme="1"/>
      <name val="Arial"/>
    </font>
    <font>
      <b/>
      <sz val="11"/>
      <color theme="1"/>
      <name val="Arial"/>
    </font>
    <font>
      <strike/>
      <sz val="9"/>
      <color theme="1"/>
      <name val="Arial"/>
    </font>
    <font>
      <b/>
      <strike/>
      <sz val="9"/>
      <color rgb="FF000000"/>
      <name val="Arial"/>
    </font>
    <font>
      <b/>
      <sz val="28"/>
      <color theme="1"/>
      <name val="Arial"/>
    </font>
    <font>
      <sz val="20"/>
      <color theme="1"/>
      <name val="Arial"/>
    </font>
    <font>
      <sz val="14"/>
      <color theme="1"/>
      <name val="Arial"/>
    </font>
    <font>
      <b/>
      <sz val="20"/>
      <color theme="1"/>
      <name val="Arial"/>
    </font>
    <font>
      <sz val="14"/>
      <color rgb="FF000000"/>
      <name val="Arial"/>
    </font>
    <font>
      <sz val="11"/>
      <color theme="1"/>
      <name val="Calibri"/>
    </font>
    <font>
      <b/>
      <sz val="14"/>
      <color rgb="FF000000"/>
      <name val="Arial"/>
    </font>
    <font>
      <b/>
      <sz val="36"/>
      <color theme="1"/>
      <name val="Arial"/>
    </font>
    <font>
      <sz val="16"/>
      <color theme="1"/>
      <name val="Arial"/>
    </font>
    <font>
      <sz val="18"/>
      <color theme="1"/>
      <name val="Arial"/>
    </font>
    <font>
      <b/>
      <sz val="18"/>
      <color rgb="FF000000"/>
      <name val="Arial"/>
    </font>
    <font>
      <b/>
      <i/>
      <sz val="9"/>
      <color theme="1"/>
      <name val="Arial"/>
    </font>
    <font>
      <sz val="9"/>
      <color theme="1"/>
      <name val="Arial"/>
      <family val="2"/>
    </font>
    <font>
      <b/>
      <sz val="9"/>
      <color rgb="FF000000"/>
      <name val="Arial"/>
      <family val="2"/>
    </font>
    <font>
      <b/>
      <sz val="14"/>
      <color theme="1"/>
      <name val="Arial"/>
      <family val="2"/>
    </font>
  </fonts>
  <fills count="10">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DAEEF3"/>
        <bgColor rgb="FFDAEEF3"/>
      </patternFill>
    </fill>
    <fill>
      <patternFill patternType="solid">
        <fgColor rgb="FFFFFF99"/>
        <bgColor rgb="FFFFFF99"/>
      </patternFill>
    </fill>
    <fill>
      <patternFill patternType="solid">
        <fgColor rgb="FF000000"/>
        <bgColor rgb="FF000000"/>
      </patternFill>
    </fill>
    <fill>
      <patternFill patternType="solid">
        <fgColor rgb="FF00FF00"/>
        <bgColor rgb="FF00FF00"/>
      </patternFill>
    </fill>
    <fill>
      <patternFill patternType="solid">
        <fgColor rgb="FFFFFF00"/>
        <bgColor rgb="FFFFFF00"/>
      </patternFill>
    </fill>
    <fill>
      <patternFill patternType="solid">
        <fgColor rgb="FFF3F3F3"/>
        <bgColor rgb="FFF3F3F3"/>
      </patternFill>
    </fill>
  </fills>
  <borders count="84">
    <border>
      <left/>
      <right/>
      <top/>
      <bottom/>
      <diagonal/>
    </border>
    <border>
      <left style="medium">
        <color rgb="FF000000"/>
      </left>
      <right style="medium">
        <color rgb="FF000000"/>
      </right>
      <top style="medium">
        <color rgb="FF000000"/>
      </top>
      <bottom style="thick">
        <color rgb="FF000000"/>
      </bottom>
      <diagonal/>
    </border>
    <border>
      <left/>
      <right/>
      <top/>
      <bottom style="medium">
        <color rgb="FF000000"/>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thick">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bottom/>
      <diagonal/>
    </border>
    <border>
      <left/>
      <right style="thin">
        <color rgb="FF000000"/>
      </right>
      <top style="thin">
        <color rgb="FF000000"/>
      </top>
      <bottom style="thin">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style="medium">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top style="thick">
        <color rgb="FF000000"/>
      </top>
      <bottom/>
      <diagonal/>
    </border>
    <border>
      <left/>
      <right/>
      <top style="thick">
        <color rgb="FF000000"/>
      </top>
      <bottom/>
      <diagonal/>
    </border>
    <border>
      <left style="thick">
        <color rgb="FF000000"/>
      </left>
      <right/>
      <top style="thick">
        <color rgb="FF000000"/>
      </top>
      <bottom/>
      <diagonal/>
    </border>
    <border>
      <left/>
      <right style="medium">
        <color rgb="FF000000"/>
      </right>
      <top style="thick">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bottom/>
      <diagonal/>
    </border>
    <border>
      <left/>
      <right/>
      <top/>
      <bottom/>
      <diagonal/>
    </border>
    <border>
      <left style="thick">
        <color rgb="FF000000"/>
      </left>
      <right/>
      <top style="medium">
        <color rgb="FF000000"/>
      </top>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style="thick">
        <color rgb="FF000000"/>
      </left>
      <right/>
      <top style="thick">
        <color rgb="FF000000"/>
      </top>
      <bottom style="medium">
        <color rgb="FF000000"/>
      </bottom>
      <diagonal/>
    </border>
    <border>
      <left/>
      <right style="medium">
        <color rgb="FF000000"/>
      </right>
      <top style="thick">
        <color rgb="FF000000"/>
      </top>
      <bottom style="medium">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bottom/>
      <diagonal/>
    </border>
    <border>
      <left/>
      <right/>
      <top/>
      <bottom style="thick">
        <color rgb="FF000000"/>
      </bottom>
      <diagonal/>
    </border>
    <border>
      <left style="medium">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style="medium">
        <color rgb="FF000000"/>
      </right>
      <top style="thick">
        <color rgb="FF000000"/>
      </top>
      <bottom style="thick">
        <color rgb="FF000000"/>
      </bottom>
      <diagonal/>
    </border>
  </borders>
  <cellStyleXfs count="1">
    <xf numFmtId="0" fontId="0" fillId="0" borderId="0"/>
  </cellStyleXfs>
  <cellXfs count="945">
    <xf numFmtId="0" fontId="0" fillId="0" borderId="0" xfId="0" applyFont="1" applyAlignment="1"/>
    <xf numFmtId="0" fontId="1" fillId="0" borderId="0" xfId="0" applyFont="1" applyAlignment="1">
      <alignment horizontal="center"/>
    </xf>
    <xf numFmtId="0" fontId="2" fillId="0" borderId="1" xfId="0" applyFont="1" applyBorder="1" applyAlignment="1">
      <alignment horizontal="center" wrapText="1"/>
    </xf>
    <xf numFmtId="0" fontId="3" fillId="2" borderId="1" xfId="0" applyFont="1" applyFill="1" applyBorder="1" applyAlignment="1">
      <alignment horizontal="left" wrapText="1"/>
    </xf>
    <xf numFmtId="0" fontId="2" fillId="3" borderId="1" xfId="0" applyFont="1" applyFill="1" applyBorder="1" applyAlignment="1">
      <alignment horizontal="center" wrapText="1"/>
    </xf>
    <xf numFmtId="164" fontId="2" fillId="3" borderId="1" xfId="0" applyNumberFormat="1" applyFont="1" applyFill="1" applyBorder="1" applyAlignment="1">
      <alignment horizontal="center" wrapText="1"/>
    </xf>
    <xf numFmtId="3" fontId="2" fillId="0" borderId="1" xfId="0" applyNumberFormat="1" applyFont="1" applyBorder="1" applyAlignment="1">
      <alignment horizontal="center" wrapText="1"/>
    </xf>
    <xf numFmtId="3" fontId="2" fillId="4" borderId="1" xfId="0" applyNumberFormat="1" applyFont="1" applyFill="1" applyBorder="1" applyAlignment="1">
      <alignment horizontal="center" wrapText="1"/>
    </xf>
    <xf numFmtId="4" fontId="2" fillId="2" borderId="1" xfId="0" applyNumberFormat="1" applyFont="1" applyFill="1" applyBorder="1" applyAlignment="1">
      <alignment horizontal="center" wrapText="1"/>
    </xf>
    <xf numFmtId="165" fontId="2" fillId="2" borderId="1" xfId="0" applyNumberFormat="1" applyFont="1" applyFill="1" applyBorder="1" applyAlignment="1">
      <alignment horizontal="center" wrapText="1"/>
    </xf>
    <xf numFmtId="0" fontId="4" fillId="0" borderId="0" xfId="0" applyFont="1"/>
    <xf numFmtId="0" fontId="7" fillId="0" borderId="2" xfId="0" applyFont="1" applyBorder="1" applyAlignment="1">
      <alignment horizontal="right"/>
    </xf>
    <xf numFmtId="0" fontId="9" fillId="0" borderId="0" xfId="0" applyFont="1"/>
    <xf numFmtId="0" fontId="10" fillId="0" borderId="3" xfId="0" applyFont="1" applyBorder="1" applyAlignment="1">
      <alignment horizontal="center" vertical="top"/>
    </xf>
    <xf numFmtId="0" fontId="2" fillId="0" borderId="3" xfId="0" applyFont="1" applyBorder="1" applyAlignment="1">
      <alignment horizontal="center" wrapText="1"/>
    </xf>
    <xf numFmtId="0" fontId="2" fillId="0" borderId="4" xfId="0" applyFont="1" applyBorder="1" applyAlignment="1">
      <alignment horizontal="center" wrapText="1"/>
    </xf>
    <xf numFmtId="0" fontId="3" fillId="2" borderId="4" xfId="0" applyFont="1" applyFill="1" applyBorder="1" applyAlignment="1">
      <alignment horizontal="left" wrapText="1"/>
    </xf>
    <xf numFmtId="0" fontId="2" fillId="3" borderId="5" xfId="0" applyFont="1" applyFill="1" applyBorder="1" applyAlignment="1">
      <alignment horizontal="center" wrapText="1"/>
    </xf>
    <xf numFmtId="164" fontId="2" fillId="3" borderId="4" xfId="0" applyNumberFormat="1" applyFont="1" applyFill="1" applyBorder="1" applyAlignment="1">
      <alignment horizontal="center" wrapText="1"/>
    </xf>
    <xf numFmtId="0" fontId="2" fillId="0" borderId="6" xfId="0" applyFont="1" applyBorder="1" applyAlignment="1">
      <alignment horizontal="center" wrapText="1"/>
    </xf>
    <xf numFmtId="3" fontId="2" fillId="0" borderId="6" xfId="0" applyNumberFormat="1" applyFont="1" applyBorder="1" applyAlignment="1">
      <alignment horizontal="center" wrapText="1"/>
    </xf>
    <xf numFmtId="3" fontId="2" fillId="4" borderId="7" xfId="0" applyNumberFormat="1" applyFont="1" applyFill="1" applyBorder="1" applyAlignment="1">
      <alignment horizontal="center" wrapText="1"/>
    </xf>
    <xf numFmtId="4" fontId="2" fillId="2" borderId="7" xfId="0" applyNumberFormat="1" applyFont="1" applyFill="1" applyBorder="1" applyAlignment="1">
      <alignment horizontal="center" wrapText="1"/>
    </xf>
    <xf numFmtId="165" fontId="2" fillId="2" borderId="7" xfId="0" applyNumberFormat="1" applyFont="1" applyFill="1" applyBorder="1" applyAlignment="1">
      <alignment horizontal="center" wrapText="1"/>
    </xf>
    <xf numFmtId="4" fontId="10" fillId="5" borderId="8" xfId="0" applyNumberFormat="1" applyFont="1" applyFill="1" applyBorder="1" applyAlignment="1">
      <alignment horizontal="center" wrapText="1"/>
    </xf>
    <xf numFmtId="0" fontId="10" fillId="2" borderId="9" xfId="0" applyFont="1" applyFill="1" applyBorder="1" applyAlignment="1">
      <alignment wrapText="1"/>
    </xf>
    <xf numFmtId="4" fontId="10" fillId="5" borderId="10" xfId="0" applyNumberFormat="1" applyFont="1" applyFill="1" applyBorder="1" applyAlignment="1">
      <alignment horizontal="center" wrapText="1"/>
    </xf>
    <xf numFmtId="0" fontId="11" fillId="2" borderId="11" xfId="0" applyFont="1" applyFill="1" applyBorder="1" applyAlignment="1">
      <alignment horizontal="center" vertical="center"/>
    </xf>
    <xf numFmtId="0" fontId="13" fillId="0" borderId="0" xfId="0" applyFont="1" applyAlignment="1">
      <alignment vertical="center"/>
    </xf>
    <xf numFmtId="0" fontId="13" fillId="2" borderId="9" xfId="0" applyFont="1" applyFill="1" applyBorder="1" applyAlignment="1">
      <alignment vertical="center"/>
    </xf>
    <xf numFmtId="0" fontId="13" fillId="0" borderId="9" xfId="0" applyFont="1" applyBorder="1" applyAlignment="1">
      <alignment vertical="center"/>
    </xf>
    <xf numFmtId="0" fontId="11" fillId="2" borderId="15" xfId="0" applyFont="1" applyFill="1" applyBorder="1" applyAlignment="1">
      <alignment vertical="top"/>
    </xf>
    <xf numFmtId="0" fontId="2" fillId="0" borderId="16" xfId="0" applyFont="1" applyBorder="1" applyAlignment="1">
      <alignment vertical="top" wrapText="1"/>
    </xf>
    <xf numFmtId="0" fontId="11" fillId="0" borderId="17" xfId="0" applyFont="1" applyBorder="1"/>
    <xf numFmtId="0" fontId="3" fillId="2" borderId="16" xfId="0" applyFont="1" applyFill="1" applyBorder="1" applyAlignment="1">
      <alignment horizontal="left" vertical="top" wrapText="1"/>
    </xf>
    <xf numFmtId="0" fontId="11" fillId="0" borderId="16" xfId="0" applyFont="1" applyBorder="1" applyAlignment="1">
      <alignment vertical="top"/>
    </xf>
    <xf numFmtId="0" fontId="2" fillId="0" borderId="16" xfId="0" applyFont="1" applyBorder="1" applyAlignment="1">
      <alignment wrapText="1"/>
    </xf>
    <xf numFmtId="3" fontId="2" fillId="0" borderId="16" xfId="0" applyNumberFormat="1" applyFont="1" applyBorder="1" applyAlignment="1">
      <alignment horizontal="center"/>
    </xf>
    <xf numFmtId="44" fontId="11" fillId="4" borderId="19" xfId="0" applyNumberFormat="1" applyFont="1" applyFill="1" applyBorder="1" applyAlignment="1">
      <alignment horizontal="center"/>
    </xf>
    <xf numFmtId="165" fontId="11" fillId="3" borderId="20" xfId="0" applyNumberFormat="1" applyFont="1" applyFill="1" applyBorder="1" applyAlignment="1">
      <alignment horizontal="center"/>
    </xf>
    <xf numFmtId="8" fontId="11" fillId="3" borderId="16" xfId="0" applyNumberFormat="1" applyFont="1" applyFill="1" applyBorder="1"/>
    <xf numFmtId="44" fontId="15" fillId="5" borderId="19" xfId="0" applyNumberFormat="1" applyFont="1" applyFill="1" applyBorder="1" applyAlignment="1">
      <alignment horizontal="center"/>
    </xf>
    <xf numFmtId="166" fontId="16" fillId="2" borderId="9" xfId="0" applyNumberFormat="1" applyFont="1" applyFill="1" applyBorder="1" applyAlignment="1">
      <alignment horizontal="right"/>
    </xf>
    <xf numFmtId="44" fontId="15" fillId="5" borderId="9" xfId="0" applyNumberFormat="1" applyFont="1" applyFill="1" applyBorder="1" applyAlignment="1">
      <alignment horizontal="center"/>
    </xf>
    <xf numFmtId="0" fontId="2" fillId="0" borderId="22" xfId="0" applyFont="1" applyBorder="1" applyAlignment="1">
      <alignment horizontal="left"/>
    </xf>
    <xf numFmtId="0" fontId="3" fillId="2" borderId="6" xfId="0" applyFont="1" applyFill="1" applyBorder="1" applyAlignment="1">
      <alignment horizontal="left" vertical="top" wrapText="1"/>
    </xf>
    <xf numFmtId="0" fontId="2" fillId="0" borderId="21" xfId="0" applyFont="1" applyBorder="1" applyAlignment="1">
      <alignment wrapText="1"/>
    </xf>
    <xf numFmtId="3" fontId="2" fillId="0" borderId="21" xfId="0" applyNumberFormat="1" applyFont="1" applyBorder="1" applyAlignment="1">
      <alignment horizontal="center"/>
    </xf>
    <xf numFmtId="165" fontId="11" fillId="3" borderId="25" xfId="0" applyNumberFormat="1" applyFont="1" applyFill="1" applyBorder="1" applyAlignment="1">
      <alignment horizontal="center"/>
    </xf>
    <xf numFmtId="8" fontId="17" fillId="3" borderId="21" xfId="0" applyNumberFormat="1" applyFont="1" applyFill="1" applyBorder="1" applyAlignment="1"/>
    <xf numFmtId="44" fontId="15" fillId="5" borderId="24" xfId="0" applyNumberFormat="1" applyFont="1" applyFill="1" applyBorder="1" applyAlignment="1">
      <alignment horizontal="center"/>
    </xf>
    <xf numFmtId="0" fontId="4" fillId="2" borderId="9" xfId="0" applyFont="1" applyFill="1" applyBorder="1" applyAlignment="1"/>
    <xf numFmtId="44" fontId="4" fillId="5" borderId="9" xfId="0" applyNumberFormat="1" applyFont="1" applyFill="1" applyBorder="1" applyAlignment="1"/>
    <xf numFmtId="0" fontId="2" fillId="0" borderId="16" xfId="0" applyFont="1" applyBorder="1" applyAlignment="1">
      <alignment vertical="top" wrapText="1"/>
    </xf>
    <xf numFmtId="0" fontId="3" fillId="2" borderId="16" xfId="0" applyFont="1" applyFill="1" applyBorder="1" applyAlignment="1">
      <alignment horizontal="left" vertical="top"/>
    </xf>
    <xf numFmtId="2" fontId="5" fillId="0" borderId="0" xfId="0" applyNumberFormat="1" applyFont="1" applyAlignment="1">
      <alignment horizontal="right"/>
    </xf>
    <xf numFmtId="0" fontId="3" fillId="2" borderId="21" xfId="0" applyFont="1" applyFill="1" applyBorder="1" applyAlignment="1">
      <alignment horizontal="left" vertical="top"/>
    </xf>
    <xf numFmtId="165" fontId="11" fillId="3" borderId="18" xfId="0" applyNumberFormat="1" applyFont="1" applyFill="1" applyBorder="1" applyAlignment="1">
      <alignment horizontal="center"/>
    </xf>
    <xf numFmtId="8" fontId="11" fillId="3" borderId="6" xfId="0" applyNumberFormat="1" applyFont="1" applyFill="1" applyBorder="1"/>
    <xf numFmtId="0" fontId="4" fillId="2" borderId="26" xfId="0" applyFont="1" applyFill="1" applyBorder="1" applyAlignment="1"/>
    <xf numFmtId="44" fontId="4" fillId="5" borderId="26" xfId="0" applyNumberFormat="1" applyFont="1" applyFill="1" applyBorder="1" applyAlignment="1"/>
    <xf numFmtId="0" fontId="2" fillId="0" borderId="6" xfId="0" applyFont="1" applyBorder="1" applyAlignment="1">
      <alignment vertical="top" wrapText="1"/>
    </xf>
    <xf numFmtId="0" fontId="3" fillId="2" borderId="6" xfId="0" applyFont="1" applyFill="1" applyBorder="1" applyAlignment="1">
      <alignment horizontal="left" vertical="top"/>
    </xf>
    <xf numFmtId="0" fontId="2" fillId="0" borderId="3" xfId="0" applyFont="1" applyBorder="1" applyAlignment="1">
      <alignment wrapText="1"/>
    </xf>
    <xf numFmtId="3" fontId="2" fillId="0" borderId="6" xfId="0" applyNumberFormat="1" applyFont="1" applyBorder="1" applyAlignment="1">
      <alignment horizontal="center"/>
    </xf>
    <xf numFmtId="2" fontId="5" fillId="0" borderId="30" xfId="0" applyNumberFormat="1" applyFont="1" applyBorder="1" applyAlignment="1">
      <alignment horizontal="right"/>
    </xf>
    <xf numFmtId="166" fontId="16" fillId="2" borderId="31" xfId="0" applyNumberFormat="1" applyFont="1" applyFill="1" applyBorder="1" applyAlignment="1">
      <alignment horizontal="right"/>
    </xf>
    <xf numFmtId="44" fontId="15" fillId="5" borderId="31" xfId="0" applyNumberFormat="1" applyFont="1" applyFill="1" applyBorder="1" applyAlignment="1">
      <alignment horizontal="center"/>
    </xf>
    <xf numFmtId="165" fontId="18" fillId="3" borderId="25" xfId="0" applyNumberFormat="1" applyFont="1" applyFill="1" applyBorder="1" applyAlignment="1">
      <alignment horizontal="center"/>
    </xf>
    <xf numFmtId="8" fontId="18" fillId="3" borderId="21" xfId="0" applyNumberFormat="1" applyFont="1" applyFill="1" applyBorder="1" applyAlignment="1"/>
    <xf numFmtId="2" fontId="5" fillId="0" borderId="2" xfId="0" applyNumberFormat="1" applyFont="1" applyBorder="1" applyAlignment="1">
      <alignment horizontal="right"/>
    </xf>
    <xf numFmtId="0" fontId="4" fillId="2" borderId="32" xfId="0" applyFont="1" applyFill="1" applyBorder="1" applyAlignment="1"/>
    <xf numFmtId="44" fontId="19" fillId="5" borderId="32" xfId="0" applyNumberFormat="1" applyFont="1" applyFill="1" applyBorder="1" applyAlignment="1">
      <alignment horizontal="center"/>
    </xf>
    <xf numFmtId="0" fontId="11" fillId="2" borderId="15" xfId="0" applyFont="1" applyFill="1" applyBorder="1" applyAlignment="1">
      <alignment vertical="top"/>
    </xf>
    <xf numFmtId="0" fontId="14" fillId="3" borderId="19" xfId="0" applyFont="1" applyFill="1" applyBorder="1" applyAlignment="1">
      <alignment horizontal="center"/>
    </xf>
    <xf numFmtId="0" fontId="2" fillId="0" borderId="29" xfId="0" applyFont="1" applyBorder="1" applyAlignment="1">
      <alignment wrapText="1"/>
    </xf>
    <xf numFmtId="166" fontId="4" fillId="2" borderId="9" xfId="0" applyNumberFormat="1" applyFont="1" applyFill="1" applyBorder="1" applyAlignment="1"/>
    <xf numFmtId="44" fontId="4" fillId="7" borderId="9" xfId="0" applyNumberFormat="1" applyFont="1" applyFill="1" applyBorder="1" applyAlignment="1"/>
    <xf numFmtId="0" fontId="2" fillId="0" borderId="6" xfId="0" applyFont="1" applyBorder="1" applyAlignment="1"/>
    <xf numFmtId="165" fontId="11" fillId="3" borderId="27" xfId="0" applyNumberFormat="1" applyFont="1" applyFill="1" applyBorder="1" applyAlignment="1">
      <alignment horizontal="center"/>
    </xf>
    <xf numFmtId="3" fontId="3" fillId="0" borderId="16" xfId="0" applyNumberFormat="1" applyFont="1" applyBorder="1" applyAlignment="1">
      <alignment horizontal="center"/>
    </xf>
    <xf numFmtId="2" fontId="5" fillId="0" borderId="29" xfId="0" applyNumberFormat="1" applyFont="1" applyBorder="1" applyAlignment="1">
      <alignment horizontal="right"/>
    </xf>
    <xf numFmtId="44" fontId="4" fillId="7" borderId="34" xfId="0" applyNumberFormat="1" applyFont="1" applyFill="1" applyBorder="1" applyAlignment="1"/>
    <xf numFmtId="2" fontId="5" fillId="0" borderId="23" xfId="0" applyNumberFormat="1" applyFont="1" applyBorder="1" applyAlignment="1">
      <alignment horizontal="right"/>
    </xf>
    <xf numFmtId="44" fontId="4" fillId="5" borderId="34" xfId="0" applyNumberFormat="1" applyFont="1" applyFill="1" applyBorder="1" applyAlignment="1"/>
    <xf numFmtId="0" fontId="11" fillId="0" borderId="16" xfId="0" applyFont="1" applyBorder="1"/>
    <xf numFmtId="0" fontId="3" fillId="2" borderId="17" xfId="0" applyFont="1" applyFill="1" applyBorder="1" applyAlignment="1">
      <alignment horizontal="left"/>
    </xf>
    <xf numFmtId="0" fontId="2" fillId="0" borderId="21" xfId="0" applyFont="1" applyBorder="1" applyAlignment="1"/>
    <xf numFmtId="44" fontId="11" fillId="4" borderId="16" xfId="0" applyNumberFormat="1" applyFont="1" applyFill="1" applyBorder="1" applyAlignment="1">
      <alignment horizontal="center"/>
    </xf>
    <xf numFmtId="8" fontId="11" fillId="3" borderId="21" xfId="0" applyNumberFormat="1" applyFont="1" applyFill="1" applyBorder="1"/>
    <xf numFmtId="0" fontId="11" fillId="2" borderId="35" xfId="0" applyFont="1" applyFill="1" applyBorder="1" applyAlignment="1">
      <alignment vertical="top"/>
    </xf>
    <xf numFmtId="0" fontId="2" fillId="0" borderId="16" xfId="0" applyFont="1" applyBorder="1" applyAlignment="1"/>
    <xf numFmtId="3" fontId="2" fillId="0" borderId="16" xfId="0" applyNumberFormat="1" applyFont="1" applyBorder="1" applyAlignment="1">
      <alignment horizontal="center"/>
    </xf>
    <xf numFmtId="44" fontId="2" fillId="5" borderId="16" xfId="0" applyNumberFormat="1" applyFont="1" applyFill="1" applyBorder="1" applyAlignment="1">
      <alignment horizontal="center"/>
    </xf>
    <xf numFmtId="165" fontId="11" fillId="3" borderId="29" xfId="0" applyNumberFormat="1" applyFont="1" applyFill="1" applyBorder="1" applyAlignment="1">
      <alignment horizontal="right"/>
    </xf>
    <xf numFmtId="2" fontId="5" fillId="0" borderId="30" xfId="0" applyNumberFormat="1" applyFont="1" applyBorder="1" applyAlignment="1">
      <alignment horizontal="right"/>
    </xf>
    <xf numFmtId="0" fontId="11" fillId="2" borderId="35" xfId="0" applyFont="1" applyFill="1" applyBorder="1" applyAlignment="1">
      <alignment vertical="top"/>
    </xf>
    <xf numFmtId="0" fontId="2" fillId="0" borderId="21" xfId="0" applyFont="1" applyBorder="1" applyAlignment="1"/>
    <xf numFmtId="3" fontId="2" fillId="0" borderId="21" xfId="0" applyNumberFormat="1" applyFont="1" applyBorder="1" applyAlignment="1">
      <alignment horizontal="center"/>
    </xf>
    <xf numFmtId="44" fontId="2" fillId="5" borderId="21" xfId="0" applyNumberFormat="1" applyFont="1" applyFill="1" applyBorder="1" applyAlignment="1">
      <alignment horizontal="center"/>
    </xf>
    <xf numFmtId="165" fontId="11" fillId="3" borderId="23" xfId="0" applyNumberFormat="1" applyFont="1" applyFill="1" applyBorder="1" applyAlignment="1"/>
    <xf numFmtId="2" fontId="5" fillId="0" borderId="0" xfId="0" applyNumberFormat="1" applyFont="1" applyAlignment="1">
      <alignment horizontal="right"/>
    </xf>
    <xf numFmtId="0" fontId="3" fillId="2" borderId="4" xfId="0" applyFont="1" applyFill="1" applyBorder="1" applyAlignment="1">
      <alignment horizontal="left"/>
    </xf>
    <xf numFmtId="0" fontId="2" fillId="0" borderId="6" xfId="0" applyFont="1" applyBorder="1" applyAlignment="1"/>
    <xf numFmtId="3" fontId="2" fillId="0" borderId="6" xfId="0" applyNumberFormat="1" applyFont="1" applyBorder="1" applyAlignment="1">
      <alignment horizontal="center"/>
    </xf>
    <xf numFmtId="44" fontId="2" fillId="5" borderId="6" xfId="0" applyNumberFormat="1" applyFont="1" applyFill="1" applyBorder="1" applyAlignment="1">
      <alignment horizontal="center"/>
    </xf>
    <xf numFmtId="165" fontId="11" fillId="3" borderId="3" xfId="0" applyNumberFormat="1" applyFont="1" applyFill="1" applyBorder="1" applyAlignment="1">
      <alignment horizontal="right"/>
    </xf>
    <xf numFmtId="2" fontId="5" fillId="0" borderId="2" xfId="0" applyNumberFormat="1" applyFont="1" applyBorder="1" applyAlignment="1">
      <alignment horizontal="right"/>
    </xf>
    <xf numFmtId="0" fontId="11" fillId="0" borderId="16" xfId="0" applyFont="1" applyBorder="1" applyAlignment="1">
      <alignment horizontal="left"/>
    </xf>
    <xf numFmtId="0" fontId="2" fillId="0" borderId="21" xfId="0" applyFont="1" applyBorder="1" applyAlignment="1">
      <alignment horizontal="left"/>
    </xf>
    <xf numFmtId="0" fontId="3" fillId="2" borderId="21" xfId="0" applyFont="1" applyFill="1" applyBorder="1" applyAlignment="1">
      <alignment horizontal="left" vertical="top"/>
    </xf>
    <xf numFmtId="0" fontId="2" fillId="0" borderId="6" xfId="0" applyFont="1" applyBorder="1" applyAlignment="1">
      <alignment horizontal="left"/>
    </xf>
    <xf numFmtId="0" fontId="3" fillId="2" borderId="6" xfId="0" applyFont="1" applyFill="1" applyBorder="1" applyAlignment="1">
      <alignment horizontal="left" vertical="top"/>
    </xf>
    <xf numFmtId="0" fontId="2" fillId="0" borderId="6" xfId="0" applyFont="1" applyBorder="1" applyAlignment="1">
      <alignment wrapText="1"/>
    </xf>
    <xf numFmtId="0" fontId="2" fillId="0" borderId="16" xfId="0" applyFont="1" applyBorder="1" applyAlignment="1">
      <alignment horizontal="left"/>
    </xf>
    <xf numFmtId="0" fontId="2" fillId="0" borderId="21" xfId="0" applyFont="1" applyBorder="1" applyAlignment="1">
      <alignment vertical="top" wrapText="1"/>
    </xf>
    <xf numFmtId="0" fontId="3" fillId="2" borderId="2" xfId="0" applyFont="1" applyFill="1" applyBorder="1" applyAlignment="1">
      <alignment horizontal="left"/>
    </xf>
    <xf numFmtId="0" fontId="16" fillId="2" borderId="9" xfId="0" applyFont="1" applyFill="1" applyBorder="1" applyAlignment="1">
      <alignment horizontal="right"/>
    </xf>
    <xf numFmtId="44" fontId="15" fillId="5" borderId="9" xfId="0" applyNumberFormat="1" applyFont="1" applyFill="1" applyBorder="1" applyAlignment="1">
      <alignment horizontal="center"/>
    </xf>
    <xf numFmtId="0" fontId="2" fillId="0" borderId="36" xfId="0" applyFont="1" applyBorder="1" applyAlignment="1">
      <alignment vertical="top" wrapText="1"/>
    </xf>
    <xf numFmtId="0" fontId="2" fillId="0" borderId="36" xfId="0" applyFont="1" applyBorder="1" applyAlignment="1">
      <alignment wrapText="1"/>
    </xf>
    <xf numFmtId="3" fontId="2" fillId="0" borderId="36" xfId="0" applyNumberFormat="1" applyFont="1" applyBorder="1" applyAlignment="1">
      <alignment horizontal="center"/>
    </xf>
    <xf numFmtId="8" fontId="11" fillId="3" borderId="36" xfId="0" applyNumberFormat="1" applyFont="1" applyFill="1" applyBorder="1"/>
    <xf numFmtId="0" fontId="11" fillId="0" borderId="6" xfId="0" applyFont="1" applyBorder="1" applyAlignment="1">
      <alignment horizontal="left"/>
    </xf>
    <xf numFmtId="0" fontId="3" fillId="0" borderId="0" xfId="0" applyFont="1" applyAlignment="1">
      <alignment horizontal="left"/>
    </xf>
    <xf numFmtId="8" fontId="11" fillId="3" borderId="3" xfId="0" applyNumberFormat="1" applyFont="1" applyFill="1" applyBorder="1"/>
    <xf numFmtId="0" fontId="2" fillId="0" borderId="21" xfId="0" applyFont="1" applyBorder="1" applyAlignment="1">
      <alignment horizontal="left"/>
    </xf>
    <xf numFmtId="44" fontId="11" fillId="4" borderId="36" xfId="0" applyNumberFormat="1" applyFont="1" applyFill="1" applyBorder="1" applyAlignment="1">
      <alignment horizontal="center"/>
    </xf>
    <xf numFmtId="8" fontId="11" fillId="3" borderId="23" xfId="0" applyNumberFormat="1" applyFont="1" applyFill="1" applyBorder="1"/>
    <xf numFmtId="0" fontId="3" fillId="2" borderId="0" xfId="0" applyFont="1" applyFill="1" applyAlignment="1">
      <alignment horizontal="left"/>
    </xf>
    <xf numFmtId="44" fontId="11" fillId="4" borderId="28" xfId="0" applyNumberFormat="1" applyFont="1" applyFill="1" applyBorder="1" applyAlignment="1">
      <alignment horizontal="center"/>
    </xf>
    <xf numFmtId="0" fontId="14" fillId="0" borderId="21" xfId="0" applyFont="1" applyBorder="1" applyAlignment="1">
      <alignment wrapText="1"/>
    </xf>
    <xf numFmtId="3" fontId="14" fillId="0" borderId="21" xfId="0" applyNumberFormat="1" applyFont="1" applyBorder="1" applyAlignment="1">
      <alignment horizontal="center"/>
    </xf>
    <xf numFmtId="165" fontId="18" fillId="3" borderId="27" xfId="0" applyNumberFormat="1" applyFont="1" applyFill="1" applyBorder="1" applyAlignment="1">
      <alignment horizontal="center"/>
    </xf>
    <xf numFmtId="44" fontId="19" fillId="5" borderId="9" xfId="0" applyNumberFormat="1" applyFont="1" applyFill="1" applyBorder="1" applyAlignment="1">
      <alignment horizontal="center"/>
    </xf>
    <xf numFmtId="0" fontId="11" fillId="0" borderId="16" xfId="0" applyFont="1" applyBorder="1" applyAlignment="1">
      <alignment horizontal="left"/>
    </xf>
    <xf numFmtId="165" fontId="11" fillId="3" borderId="16" xfId="0" applyNumberFormat="1" applyFont="1" applyFill="1" applyBorder="1" applyAlignment="1">
      <alignment horizontal="center"/>
    </xf>
    <xf numFmtId="8" fontId="11" fillId="3" borderId="29" xfId="0" applyNumberFormat="1" applyFont="1" applyFill="1" applyBorder="1"/>
    <xf numFmtId="0" fontId="11" fillId="0" borderId="21" xfId="0" applyFont="1" applyBorder="1" applyAlignment="1">
      <alignment horizontal="left"/>
    </xf>
    <xf numFmtId="165" fontId="18" fillId="3" borderId="6" xfId="0" applyNumberFormat="1" applyFont="1" applyFill="1" applyBorder="1" applyAlignment="1">
      <alignment horizontal="center"/>
    </xf>
    <xf numFmtId="8" fontId="18" fillId="3" borderId="23" xfId="0" applyNumberFormat="1" applyFont="1" applyFill="1" applyBorder="1"/>
    <xf numFmtId="0" fontId="11" fillId="0" borderId="4" xfId="0" applyFont="1" applyBorder="1" applyAlignment="1">
      <alignment horizontal="left"/>
    </xf>
    <xf numFmtId="0" fontId="3" fillId="2" borderId="16" xfId="0" applyFont="1" applyFill="1" applyBorder="1" applyAlignment="1">
      <alignment horizontal="left"/>
    </xf>
    <xf numFmtId="165" fontId="11" fillId="3" borderId="6" xfId="0" applyNumberFormat="1" applyFont="1" applyFill="1" applyBorder="1" applyAlignment="1">
      <alignment horizontal="center"/>
    </xf>
    <xf numFmtId="0" fontId="11" fillId="0" borderId="21" xfId="0" applyFont="1" applyBorder="1" applyAlignment="1">
      <alignment vertical="top"/>
    </xf>
    <xf numFmtId="3" fontId="2" fillId="0" borderId="16" xfId="0" applyNumberFormat="1" applyFont="1" applyBorder="1" applyAlignment="1">
      <alignment horizontal="center" vertical="top"/>
    </xf>
    <xf numFmtId="165" fontId="11" fillId="3" borderId="16" xfId="0" applyNumberFormat="1" applyFont="1" applyFill="1" applyBorder="1" applyAlignment="1">
      <alignment horizontal="center" vertical="top"/>
    </xf>
    <xf numFmtId="8" fontId="11" fillId="3" borderId="29" xfId="0" applyNumberFormat="1" applyFont="1" applyFill="1" applyBorder="1" applyAlignment="1">
      <alignment vertical="top"/>
    </xf>
    <xf numFmtId="2" fontId="5" fillId="0" borderId="0" xfId="0" applyNumberFormat="1" applyFont="1" applyAlignment="1">
      <alignment horizontal="right" vertical="top"/>
    </xf>
    <xf numFmtId="44" fontId="15" fillId="5" borderId="9" xfId="0" applyNumberFormat="1" applyFont="1" applyFill="1" applyBorder="1" applyAlignment="1">
      <alignment horizontal="center" vertical="top"/>
    </xf>
    <xf numFmtId="0" fontId="14" fillId="2" borderId="15" xfId="0" applyFont="1" applyFill="1" applyBorder="1" applyAlignment="1">
      <alignment vertical="top"/>
    </xf>
    <xf numFmtId="0" fontId="14" fillId="0" borderId="6" xfId="0" applyFont="1" applyBorder="1" applyAlignment="1">
      <alignment wrapText="1"/>
    </xf>
    <xf numFmtId="3" fontId="14" fillId="0" borderId="6" xfId="0" applyNumberFormat="1" applyFont="1" applyBorder="1" applyAlignment="1">
      <alignment horizontal="center"/>
    </xf>
    <xf numFmtId="165" fontId="18" fillId="3" borderId="6" xfId="0" applyNumberFormat="1" applyFont="1" applyFill="1" applyBorder="1" applyAlignment="1">
      <alignment horizontal="center" vertical="top"/>
    </xf>
    <xf numFmtId="8" fontId="18" fillId="3" borderId="3" xfId="0" applyNumberFormat="1" applyFont="1" applyFill="1" applyBorder="1"/>
    <xf numFmtId="2" fontId="19" fillId="0" borderId="0" xfId="0" applyNumberFormat="1" applyFont="1" applyAlignment="1">
      <alignment horizontal="right"/>
    </xf>
    <xf numFmtId="165" fontId="18" fillId="3" borderId="21" xfId="0" applyNumberFormat="1" applyFont="1" applyFill="1" applyBorder="1" applyAlignment="1">
      <alignment horizontal="center"/>
    </xf>
    <xf numFmtId="165" fontId="11" fillId="3" borderId="3" xfId="0" applyNumberFormat="1" applyFont="1" applyFill="1" applyBorder="1" applyAlignment="1">
      <alignment horizontal="center"/>
    </xf>
    <xf numFmtId="0" fontId="11" fillId="0" borderId="21" xfId="0" applyFont="1" applyBorder="1" applyAlignment="1">
      <alignment horizontal="left"/>
    </xf>
    <xf numFmtId="0" fontId="3" fillId="2" borderId="36" xfId="0" applyFont="1" applyFill="1" applyBorder="1" applyAlignment="1">
      <alignment horizontal="left"/>
    </xf>
    <xf numFmtId="165" fontId="11" fillId="3" borderId="14" xfId="0" applyNumberFormat="1" applyFont="1" applyFill="1" applyBorder="1" applyAlignment="1">
      <alignment horizontal="center"/>
    </xf>
    <xf numFmtId="0" fontId="11" fillId="0" borderId="36" xfId="0" applyFont="1" applyBorder="1" applyAlignment="1">
      <alignment horizontal="left"/>
    </xf>
    <xf numFmtId="0" fontId="3" fillId="0" borderId="36" xfId="0" applyFont="1" applyBorder="1" applyAlignment="1">
      <alignment horizontal="left"/>
    </xf>
    <xf numFmtId="167" fontId="11" fillId="3" borderId="36" xfId="0" applyNumberFormat="1" applyFont="1" applyFill="1" applyBorder="1"/>
    <xf numFmtId="0" fontId="11" fillId="0" borderId="17" xfId="0" applyFont="1" applyBorder="1" applyAlignment="1">
      <alignment horizontal="left"/>
    </xf>
    <xf numFmtId="0" fontId="11" fillId="0" borderId="16" xfId="0" applyFont="1" applyBorder="1" applyAlignment="1"/>
    <xf numFmtId="0" fontId="3" fillId="2" borderId="30" xfId="0" applyFont="1" applyFill="1" applyBorder="1" applyAlignment="1">
      <alignment horizontal="left"/>
    </xf>
    <xf numFmtId="0" fontId="11" fillId="0" borderId="21" xfId="0" applyFont="1" applyBorder="1" applyAlignment="1">
      <alignment horizontal="left"/>
    </xf>
    <xf numFmtId="0" fontId="3" fillId="2" borderId="21" xfId="0" applyFont="1" applyFill="1" applyBorder="1" applyAlignment="1">
      <alignment horizontal="left" vertical="center"/>
    </xf>
    <xf numFmtId="3" fontId="2" fillId="0" borderId="16" xfId="0" applyNumberFormat="1" applyFont="1" applyBorder="1" applyAlignment="1">
      <alignment horizontal="center"/>
    </xf>
    <xf numFmtId="0" fontId="3" fillId="0" borderId="16" xfId="0" applyFont="1" applyBorder="1" applyAlignment="1">
      <alignment horizontal="left"/>
    </xf>
    <xf numFmtId="0" fontId="3" fillId="2" borderId="22" xfId="0" applyFont="1" applyFill="1" applyBorder="1" applyAlignment="1">
      <alignment horizontal="left"/>
    </xf>
    <xf numFmtId="0" fontId="11" fillId="0" borderId="6" xfId="0" applyFont="1" applyBorder="1" applyAlignment="1">
      <alignment horizontal="left"/>
    </xf>
    <xf numFmtId="0" fontId="2" fillId="0" borderId="4" xfId="0" applyFont="1" applyBorder="1" applyAlignment="1">
      <alignment wrapText="1"/>
    </xf>
    <xf numFmtId="165" fontId="18" fillId="3" borderId="18" xfId="0" applyNumberFormat="1" applyFont="1" applyFill="1" applyBorder="1" applyAlignment="1">
      <alignment horizontal="center"/>
    </xf>
    <xf numFmtId="0" fontId="2" fillId="0" borderId="17" xfId="0" applyFont="1" applyBorder="1" applyAlignment="1">
      <alignment wrapText="1"/>
    </xf>
    <xf numFmtId="0" fontId="3" fillId="2" borderId="4" xfId="0" applyFont="1" applyFill="1" applyBorder="1" applyAlignment="1">
      <alignment horizontal="left" vertical="top"/>
    </xf>
    <xf numFmtId="165" fontId="11" fillId="3" borderId="21" xfId="0" applyNumberFormat="1" applyFont="1" applyFill="1" applyBorder="1" applyAlignment="1">
      <alignment horizontal="center"/>
    </xf>
    <xf numFmtId="165" fontId="11" fillId="3" borderId="42" xfId="0" applyNumberFormat="1" applyFont="1" applyFill="1" applyBorder="1" applyAlignment="1">
      <alignment horizontal="center"/>
    </xf>
    <xf numFmtId="0" fontId="2" fillId="0" borderId="6" xfId="0" applyFont="1" applyBorder="1" applyAlignment="1">
      <alignment horizontal="right"/>
    </xf>
    <xf numFmtId="0" fontId="3" fillId="2" borderId="21" xfId="0" applyFont="1" applyFill="1" applyBorder="1" applyAlignment="1">
      <alignment horizontal="left"/>
    </xf>
    <xf numFmtId="44" fontId="11" fillId="4" borderId="21" xfId="0" applyNumberFormat="1" applyFont="1" applyFill="1" applyBorder="1" applyAlignment="1">
      <alignment horizontal="center"/>
    </xf>
    <xf numFmtId="0" fontId="3" fillId="2" borderId="6" xfId="0" applyFont="1" applyFill="1" applyBorder="1" applyAlignment="1">
      <alignment horizontal="left"/>
    </xf>
    <xf numFmtId="44" fontId="11" fillId="4" borderId="7" xfId="0" applyNumberFormat="1" applyFont="1" applyFill="1" applyBorder="1" applyAlignment="1">
      <alignment horizontal="center"/>
    </xf>
    <xf numFmtId="0" fontId="11" fillId="0" borderId="4" xfId="0" applyFont="1" applyBorder="1"/>
    <xf numFmtId="0" fontId="2" fillId="0" borderId="36" xfId="0" applyFont="1" applyBorder="1" applyAlignment="1">
      <alignment horizontal="left"/>
    </xf>
    <xf numFmtId="167" fontId="11" fillId="3" borderId="16" xfId="0" applyNumberFormat="1" applyFont="1" applyFill="1" applyBorder="1"/>
    <xf numFmtId="167" fontId="11" fillId="3" borderId="6" xfId="0" applyNumberFormat="1" applyFont="1" applyFill="1" applyBorder="1"/>
    <xf numFmtId="44" fontId="11" fillId="4" borderId="24" xfId="0" applyNumberFormat="1" applyFont="1" applyFill="1" applyBorder="1" applyAlignment="1">
      <alignment horizontal="center"/>
    </xf>
    <xf numFmtId="167" fontId="11" fillId="3" borderId="21" xfId="0" applyNumberFormat="1" applyFont="1" applyFill="1" applyBorder="1"/>
    <xf numFmtId="44" fontId="11" fillId="4" borderId="44" xfId="0" applyNumberFormat="1" applyFont="1" applyFill="1" applyBorder="1" applyAlignment="1">
      <alignment horizontal="center"/>
    </xf>
    <xf numFmtId="165" fontId="11" fillId="3" borderId="29" xfId="0" applyNumberFormat="1" applyFont="1" applyFill="1" applyBorder="1" applyAlignment="1">
      <alignment horizontal="center"/>
    </xf>
    <xf numFmtId="167" fontId="11" fillId="3" borderId="3" xfId="0" applyNumberFormat="1" applyFont="1" applyFill="1" applyBorder="1"/>
    <xf numFmtId="44" fontId="11" fillId="4" borderId="45" xfId="0" applyNumberFormat="1" applyFont="1" applyFill="1" applyBorder="1" applyAlignment="1">
      <alignment horizontal="center"/>
    </xf>
    <xf numFmtId="165" fontId="18" fillId="3" borderId="3" xfId="0" applyNumberFormat="1" applyFont="1" applyFill="1" applyBorder="1" applyAlignment="1">
      <alignment horizontal="center"/>
    </xf>
    <xf numFmtId="165" fontId="11" fillId="3" borderId="23" xfId="0" applyNumberFormat="1" applyFont="1" applyFill="1" applyBorder="1" applyAlignment="1">
      <alignment horizontal="center"/>
    </xf>
    <xf numFmtId="0" fontId="2" fillId="2" borderId="6" xfId="0" applyFont="1" applyFill="1" applyBorder="1" applyAlignment="1">
      <alignment vertical="top" wrapText="1"/>
    </xf>
    <xf numFmtId="0" fontId="2" fillId="0" borderId="22" xfId="0" applyFont="1" applyBorder="1" applyAlignment="1">
      <alignment wrapText="1"/>
    </xf>
    <xf numFmtId="0" fontId="2" fillId="0" borderId="17" xfId="0" applyFont="1" applyBorder="1" applyAlignment="1">
      <alignment vertical="top" wrapText="1"/>
    </xf>
    <xf numFmtId="0" fontId="14" fillId="0" borderId="22" xfId="0" applyFont="1" applyBorder="1" applyAlignment="1">
      <alignment wrapText="1"/>
    </xf>
    <xf numFmtId="165" fontId="18" fillId="3" borderId="21" xfId="0" applyNumberFormat="1" applyFont="1" applyFill="1" applyBorder="1" applyAlignment="1">
      <alignment horizontal="center" vertical="top"/>
    </xf>
    <xf numFmtId="166" fontId="4" fillId="2" borderId="31" xfId="0" applyNumberFormat="1" applyFont="1" applyFill="1" applyBorder="1" applyAlignment="1"/>
    <xf numFmtId="44" fontId="4" fillId="5" borderId="31" xfId="0" applyNumberFormat="1" applyFont="1" applyFill="1" applyBorder="1" applyAlignment="1">
      <alignment vertical="top"/>
    </xf>
    <xf numFmtId="3" fontId="2" fillId="0" borderId="21" xfId="0" applyNumberFormat="1" applyFont="1" applyBorder="1" applyAlignment="1">
      <alignment horizontal="center" vertical="top"/>
    </xf>
    <xf numFmtId="165" fontId="11" fillId="3" borderId="18" xfId="0" applyNumberFormat="1" applyFont="1" applyFill="1" applyBorder="1" applyAlignment="1">
      <alignment horizontal="center" vertical="top"/>
    </xf>
    <xf numFmtId="8" fontId="11" fillId="3" borderId="6" xfId="0" applyNumberFormat="1" applyFont="1" applyFill="1" applyBorder="1" applyAlignment="1">
      <alignment vertical="top"/>
    </xf>
    <xf numFmtId="166" fontId="4" fillId="2" borderId="32" xfId="0" applyNumberFormat="1" applyFont="1" applyFill="1" applyBorder="1" applyAlignment="1"/>
    <xf numFmtId="44" fontId="4" fillId="5" borderId="32" xfId="0" applyNumberFormat="1" applyFont="1" applyFill="1" applyBorder="1" applyAlignment="1">
      <alignment vertical="top"/>
    </xf>
    <xf numFmtId="8" fontId="11" fillId="3" borderId="16" xfId="0" applyNumberFormat="1" applyFont="1" applyFill="1" applyBorder="1" applyAlignment="1">
      <alignment vertical="top"/>
    </xf>
    <xf numFmtId="166" fontId="16" fillId="2" borderId="10" xfId="0" applyNumberFormat="1" applyFont="1" applyFill="1" applyBorder="1" applyAlignment="1">
      <alignment horizontal="right"/>
    </xf>
    <xf numFmtId="44" fontId="15" fillId="5" borderId="10" xfId="0" applyNumberFormat="1" applyFont="1" applyFill="1" applyBorder="1" applyAlignment="1">
      <alignment horizontal="center" vertical="top"/>
    </xf>
    <xf numFmtId="8" fontId="11" fillId="3" borderId="21" xfId="0" applyNumberFormat="1" applyFont="1" applyFill="1" applyBorder="1" applyAlignment="1">
      <alignment vertical="top"/>
    </xf>
    <xf numFmtId="165" fontId="11" fillId="3" borderId="6" xfId="0" applyNumberFormat="1" applyFont="1" applyFill="1" applyBorder="1" applyAlignment="1">
      <alignment horizontal="center" vertical="top"/>
    </xf>
    <xf numFmtId="0" fontId="11" fillId="0" borderId="22" xfId="0" applyFont="1" applyBorder="1" applyAlignment="1">
      <alignment horizontal="left"/>
    </xf>
    <xf numFmtId="8" fontId="11" fillId="3" borderId="3" xfId="0" applyNumberFormat="1" applyFont="1" applyFill="1" applyBorder="1" applyAlignment="1">
      <alignment vertical="top"/>
    </xf>
    <xf numFmtId="165" fontId="11" fillId="3" borderId="21" xfId="0" applyNumberFormat="1" applyFont="1" applyFill="1" applyBorder="1" applyAlignment="1">
      <alignment horizontal="center" vertical="top"/>
    </xf>
    <xf numFmtId="2" fontId="22" fillId="0" borderId="0" xfId="0" applyNumberFormat="1" applyFont="1" applyAlignment="1">
      <alignment horizontal="right"/>
    </xf>
    <xf numFmtId="166" fontId="23" fillId="2" borderId="9" xfId="0" applyNumberFormat="1" applyFont="1" applyFill="1" applyBorder="1" applyAlignment="1">
      <alignment horizontal="right"/>
    </xf>
    <xf numFmtId="44" fontId="10" fillId="5" borderId="9" xfId="0" applyNumberFormat="1" applyFont="1" applyFill="1" applyBorder="1" applyAlignment="1">
      <alignment horizontal="center"/>
    </xf>
    <xf numFmtId="0" fontId="11" fillId="3" borderId="6" xfId="0" applyFont="1" applyFill="1" applyBorder="1"/>
    <xf numFmtId="0" fontId="24" fillId="2" borderId="9" xfId="0" applyFont="1" applyFill="1" applyBorder="1" applyAlignment="1"/>
    <xf numFmtId="44" fontId="24" fillId="5" borderId="9" xfId="0" applyNumberFormat="1" applyFont="1" applyFill="1" applyBorder="1" applyAlignment="1"/>
    <xf numFmtId="0" fontId="2" fillId="0" borderId="21" xfId="0" applyFont="1" applyBorder="1" applyAlignment="1">
      <alignment horizontal="right"/>
    </xf>
    <xf numFmtId="0" fontId="11" fillId="3" borderId="21" xfId="0" applyFont="1" applyFill="1" applyBorder="1"/>
    <xf numFmtId="0" fontId="11" fillId="3" borderId="3" xfId="0" applyFont="1" applyFill="1" applyBorder="1"/>
    <xf numFmtId="0" fontId="3" fillId="2" borderId="16" xfId="0" applyFont="1" applyFill="1" applyBorder="1" applyAlignment="1">
      <alignment horizontal="left" vertical="top"/>
    </xf>
    <xf numFmtId="0" fontId="17" fillId="2" borderId="15" xfId="0" applyFont="1" applyFill="1" applyBorder="1" applyAlignment="1">
      <alignment vertical="top"/>
    </xf>
    <xf numFmtId="0" fontId="3" fillId="0" borderId="30" xfId="0" applyFont="1" applyBorder="1" applyAlignment="1">
      <alignment horizontal="left"/>
    </xf>
    <xf numFmtId="44" fontId="11" fillId="3" borderId="16" xfId="0" applyNumberFormat="1" applyFont="1" applyFill="1" applyBorder="1"/>
    <xf numFmtId="0" fontId="11" fillId="0" borderId="6" xfId="0" applyFont="1" applyBorder="1" applyAlignment="1"/>
    <xf numFmtId="0" fontId="11" fillId="0" borderId="21" xfId="0" applyFont="1" applyBorder="1" applyAlignment="1"/>
    <xf numFmtId="3" fontId="3" fillId="0" borderId="6" xfId="0" applyNumberFormat="1" applyFont="1" applyBorder="1" applyAlignment="1">
      <alignment horizontal="center"/>
    </xf>
    <xf numFmtId="44" fontId="11" fillId="3" borderId="6" xfId="0" applyNumberFormat="1" applyFont="1" applyFill="1" applyBorder="1"/>
    <xf numFmtId="0" fontId="17" fillId="2" borderId="15" xfId="0" applyFont="1" applyFill="1" applyBorder="1" applyAlignment="1">
      <alignment horizontal="right" vertical="top"/>
    </xf>
    <xf numFmtId="0" fontId="25" fillId="2" borderId="9" xfId="0" applyFont="1" applyFill="1" applyBorder="1" applyAlignment="1"/>
    <xf numFmtId="0" fontId="2" fillId="0" borderId="16" xfId="0" applyFont="1" applyBorder="1" applyAlignment="1">
      <alignment horizontal="right"/>
    </xf>
    <xf numFmtId="8" fontId="11" fillId="3" borderId="27" xfId="0" applyNumberFormat="1" applyFont="1" applyFill="1" applyBorder="1"/>
    <xf numFmtId="9" fontId="4" fillId="2" borderId="0" xfId="0" applyNumberFormat="1" applyFont="1" applyFill="1" applyAlignment="1"/>
    <xf numFmtId="0" fontId="4" fillId="0" borderId="9" xfId="0" applyFont="1" applyBorder="1" applyAlignment="1"/>
    <xf numFmtId="8" fontId="11" fillId="3" borderId="18" xfId="0" applyNumberFormat="1" applyFont="1" applyFill="1" applyBorder="1"/>
    <xf numFmtId="0" fontId="25" fillId="2" borderId="9" xfId="0" applyFont="1" applyFill="1" applyBorder="1" applyAlignment="1"/>
    <xf numFmtId="0" fontId="2" fillId="0" borderId="0" xfId="0" applyFont="1" applyAlignment="1">
      <alignment horizontal="center" vertical="center"/>
    </xf>
    <xf numFmtId="0" fontId="27" fillId="0" borderId="49" xfId="0" applyFont="1" applyBorder="1" applyAlignment="1">
      <alignment horizontal="right" vertical="center"/>
    </xf>
    <xf numFmtId="0" fontId="28" fillId="0" borderId="0" xfId="0" applyFont="1" applyAlignment="1">
      <alignment vertical="center"/>
    </xf>
    <xf numFmtId="9" fontId="29" fillId="2" borderId="9" xfId="0" applyNumberFormat="1" applyFont="1" applyFill="1" applyBorder="1" applyAlignment="1">
      <alignment horizontal="center" vertical="center"/>
    </xf>
    <xf numFmtId="0" fontId="28" fillId="0" borderId="9" xfId="0" applyFont="1" applyBorder="1" applyAlignment="1">
      <alignment vertical="center"/>
    </xf>
    <xf numFmtId="0" fontId="2" fillId="0" borderId="0" xfId="0" applyFont="1" applyAlignment="1">
      <alignment vertical="center"/>
    </xf>
    <xf numFmtId="0" fontId="28" fillId="2" borderId="9" xfId="0" applyFont="1" applyFill="1" applyBorder="1" applyAlignment="1">
      <alignment vertical="center"/>
    </xf>
    <xf numFmtId="0" fontId="17" fillId="7" borderId="35" xfId="0" applyFont="1" applyFill="1" applyBorder="1" applyAlignment="1">
      <alignment vertical="top"/>
    </xf>
    <xf numFmtId="0" fontId="10" fillId="0" borderId="52" xfId="0" applyFont="1" applyBorder="1" applyAlignment="1">
      <alignment horizontal="left" wrapText="1"/>
    </xf>
    <xf numFmtId="0" fontId="10" fillId="0" borderId="31" xfId="0" applyFont="1" applyBorder="1" applyAlignment="1">
      <alignment horizontal="left"/>
    </xf>
    <xf numFmtId="0" fontId="30" fillId="2" borderId="31" xfId="0" applyFont="1" applyFill="1" applyBorder="1" applyAlignment="1">
      <alignment horizontal="left" vertical="top" wrapText="1"/>
    </xf>
    <xf numFmtId="0" fontId="14" fillId="5" borderId="31" xfId="0" applyFont="1" applyFill="1" applyBorder="1" applyAlignment="1">
      <alignment horizontal="center" wrapText="1"/>
    </xf>
    <xf numFmtId="49" fontId="15" fillId="2" borderId="31" xfId="0" quotePrefix="1" applyNumberFormat="1" applyFont="1" applyFill="1" applyBorder="1" applyAlignment="1">
      <alignment horizontal="center"/>
    </xf>
    <xf numFmtId="0" fontId="31" fillId="0" borderId="31" xfId="0" applyFont="1" applyBorder="1" applyAlignment="1">
      <alignment horizontal="left" vertical="top"/>
    </xf>
    <xf numFmtId="0" fontId="10" fillId="0" borderId="31" xfId="0" applyFont="1" applyBorder="1" applyAlignment="1">
      <alignment horizontal="left" wrapText="1"/>
    </xf>
    <xf numFmtId="3" fontId="10" fillId="0" borderId="31" xfId="0" applyNumberFormat="1" applyFont="1" applyBorder="1" applyAlignment="1">
      <alignment horizontal="left"/>
    </xf>
    <xf numFmtId="44" fontId="22" fillId="4" borderId="31" xfId="0" applyNumberFormat="1" applyFont="1" applyFill="1" applyBorder="1" applyAlignment="1">
      <alignment horizontal="center"/>
    </xf>
    <xf numFmtId="44" fontId="5" fillId="2" borderId="31" xfId="0" applyNumberFormat="1" applyFont="1" applyFill="1" applyBorder="1" applyAlignment="1">
      <alignment horizontal="center"/>
    </xf>
    <xf numFmtId="168" fontId="5" fillId="2" borderId="31" xfId="0" applyNumberFormat="1" applyFont="1" applyFill="1" applyBorder="1" applyAlignment="1">
      <alignment horizontal="center"/>
    </xf>
    <xf numFmtId="169" fontId="10" fillId="0" borderId="53" xfId="0" applyNumberFormat="1" applyFont="1" applyBorder="1" applyAlignment="1">
      <alignment horizontal="left"/>
    </xf>
    <xf numFmtId="44" fontId="15" fillId="5" borderId="20" xfId="0" applyNumberFormat="1" applyFont="1" applyFill="1" applyBorder="1" applyAlignment="1">
      <alignment horizontal="center"/>
    </xf>
    <xf numFmtId="44" fontId="15" fillId="5" borderId="0" xfId="0" applyNumberFormat="1" applyFont="1" applyFill="1" applyAlignment="1">
      <alignment horizontal="center"/>
    </xf>
    <xf numFmtId="0" fontId="10" fillId="0" borderId="54" xfId="0" applyFont="1" applyBorder="1" applyAlignment="1">
      <alignment horizontal="left" wrapText="1"/>
    </xf>
    <xf numFmtId="0" fontId="10" fillId="0" borderId="9" xfId="0" applyFont="1" applyBorder="1" applyAlignment="1">
      <alignment horizontal="left"/>
    </xf>
    <xf numFmtId="0" fontId="30" fillId="2" borderId="9" xfId="0" applyFont="1" applyFill="1" applyBorder="1" applyAlignment="1">
      <alignment horizontal="left" vertical="top" wrapText="1"/>
    </xf>
    <xf numFmtId="0" fontId="14" fillId="7" borderId="9" xfId="0" applyFont="1" applyFill="1" applyBorder="1" applyAlignment="1">
      <alignment horizontal="center" wrapText="1"/>
    </xf>
    <xf numFmtId="49" fontId="15" fillId="2" borderId="9" xfId="0" applyNumberFormat="1" applyFont="1" applyFill="1" applyBorder="1" applyAlignment="1">
      <alignment horizontal="center"/>
    </xf>
    <xf numFmtId="0" fontId="31" fillId="0" borderId="9" xfId="0" applyFont="1" applyBorder="1" applyAlignment="1">
      <alignment horizontal="left" vertical="top"/>
    </xf>
    <xf numFmtId="0" fontId="10" fillId="0" borderId="9" xfId="0" applyFont="1" applyBorder="1" applyAlignment="1">
      <alignment horizontal="left" wrapText="1"/>
    </xf>
    <xf numFmtId="0" fontId="10" fillId="0" borderId="9" xfId="0" applyFont="1" applyBorder="1" applyAlignment="1">
      <alignment horizontal="left"/>
    </xf>
    <xf numFmtId="44" fontId="22" fillId="4" borderId="9" xfId="0" applyNumberFormat="1" applyFont="1" applyFill="1" applyBorder="1" applyAlignment="1">
      <alignment horizontal="center"/>
    </xf>
    <xf numFmtId="44" fontId="5" fillId="2" borderId="9" xfId="0" applyNumberFormat="1" applyFont="1" applyFill="1" applyBorder="1" applyAlignment="1">
      <alignment horizontal="center"/>
    </xf>
    <xf numFmtId="170" fontId="5" fillId="2" borderId="9" xfId="0" applyNumberFormat="1" applyFont="1" applyFill="1" applyBorder="1" applyAlignment="1">
      <alignment horizontal="center"/>
    </xf>
    <xf numFmtId="169" fontId="10" fillId="0" borderId="55" xfId="0" applyNumberFormat="1" applyFont="1" applyBorder="1" applyAlignment="1">
      <alignment horizontal="left"/>
    </xf>
    <xf numFmtId="0" fontId="14" fillId="5" borderId="9" xfId="0" applyFont="1" applyFill="1" applyBorder="1" applyAlignment="1">
      <alignment horizontal="center" wrapText="1"/>
    </xf>
    <xf numFmtId="49" fontId="15" fillId="2" borderId="9" xfId="0" quotePrefix="1" applyNumberFormat="1" applyFont="1" applyFill="1" applyBorder="1" applyAlignment="1">
      <alignment horizontal="center"/>
    </xf>
    <xf numFmtId="0" fontId="32" fillId="0" borderId="56" xfId="0" applyFont="1" applyBorder="1" applyAlignment="1">
      <alignment horizontal="right" wrapText="1"/>
    </xf>
    <xf numFmtId="0" fontId="32" fillId="0" borderId="57" xfId="0" applyFont="1" applyBorder="1" applyAlignment="1">
      <alignment horizontal="right" wrapText="1"/>
    </xf>
    <xf numFmtId="0" fontId="30" fillId="2" borderId="57" xfId="0" applyFont="1" applyFill="1" applyBorder="1" applyAlignment="1">
      <alignment horizontal="left" vertical="top" wrapText="1"/>
    </xf>
    <xf numFmtId="0" fontId="33" fillId="2" borderId="57" xfId="0" applyFont="1" applyFill="1" applyBorder="1" applyAlignment="1">
      <alignment horizontal="right" wrapText="1"/>
    </xf>
    <xf numFmtId="0" fontId="32" fillId="2" borderId="57" xfId="0" applyFont="1" applyFill="1" applyBorder="1" applyAlignment="1">
      <alignment horizontal="right" wrapText="1"/>
    </xf>
    <xf numFmtId="0" fontId="32" fillId="0" borderId="58" xfId="0" applyFont="1" applyBorder="1" applyAlignment="1">
      <alignment horizontal="right" wrapText="1"/>
    </xf>
    <xf numFmtId="0" fontId="2" fillId="0" borderId="16" xfId="0" applyFont="1" applyBorder="1" applyAlignment="1">
      <alignment wrapText="1"/>
    </xf>
    <xf numFmtId="164" fontId="15" fillId="3" borderId="16" xfId="0" applyNumberFormat="1" applyFont="1" applyFill="1" applyBorder="1" applyAlignment="1">
      <alignment horizontal="center"/>
    </xf>
    <xf numFmtId="0" fontId="2" fillId="0" borderId="16" xfId="0" applyFont="1" applyBorder="1" applyAlignment="1">
      <alignment horizontal="center"/>
    </xf>
    <xf numFmtId="44" fontId="11" fillId="3" borderId="16" xfId="0" applyNumberFormat="1" applyFont="1" applyFill="1" applyBorder="1" applyAlignment="1">
      <alignment horizontal="center"/>
    </xf>
    <xf numFmtId="44" fontId="15" fillId="5" borderId="27" xfId="0" applyNumberFormat="1" applyFont="1" applyFill="1" applyBorder="1" applyAlignment="1">
      <alignment horizontal="center"/>
    </xf>
    <xf numFmtId="0" fontId="2" fillId="0" borderId="6" xfId="0" applyFont="1" applyBorder="1" applyAlignment="1">
      <alignment wrapText="1"/>
    </xf>
    <xf numFmtId="0" fontId="2" fillId="0" borderId="6" xfId="0" applyFont="1" applyBorder="1" applyAlignment="1">
      <alignment horizontal="center"/>
    </xf>
    <xf numFmtId="44" fontId="11" fillId="4" borderId="6" xfId="0" applyNumberFormat="1" applyFont="1" applyFill="1" applyBorder="1" applyAlignment="1">
      <alignment horizontal="center"/>
    </xf>
    <xf numFmtId="44" fontId="11" fillId="3" borderId="6" xfId="0" applyNumberFormat="1" applyFont="1" applyFill="1" applyBorder="1" applyAlignment="1">
      <alignment horizontal="center"/>
    </xf>
    <xf numFmtId="0" fontId="2" fillId="0" borderId="21" xfId="0" applyFont="1" applyBorder="1" applyAlignment="1">
      <alignment horizontal="right" wrapText="1"/>
    </xf>
    <xf numFmtId="0" fontId="2" fillId="0" borderId="21" xfId="0" applyFont="1" applyBorder="1" applyAlignment="1">
      <alignment horizontal="center"/>
    </xf>
    <xf numFmtId="0" fontId="11" fillId="3" borderId="21" xfId="0" applyFont="1" applyFill="1" applyBorder="1" applyAlignment="1">
      <alignment horizontal="center"/>
    </xf>
    <xf numFmtId="44" fontId="11" fillId="3" borderId="21" xfId="0" applyNumberFormat="1" applyFont="1" applyFill="1" applyBorder="1"/>
    <xf numFmtId="44" fontId="15" fillId="5" borderId="42" xfId="0" applyNumberFormat="1" applyFont="1" applyFill="1" applyBorder="1" applyAlignment="1">
      <alignment horizontal="center"/>
    </xf>
    <xf numFmtId="167" fontId="11" fillId="3" borderId="7" xfId="0" applyNumberFormat="1" applyFont="1" applyFill="1" applyBorder="1" applyAlignment="1">
      <alignment horizontal="center"/>
    </xf>
    <xf numFmtId="167" fontId="11" fillId="3" borderId="28" xfId="0" applyNumberFormat="1" applyFont="1" applyFill="1" applyBorder="1" applyAlignment="1">
      <alignment horizontal="center"/>
    </xf>
    <xf numFmtId="44" fontId="15" fillId="5" borderId="28" xfId="0" applyNumberFormat="1" applyFont="1" applyFill="1" applyBorder="1" applyAlignment="1">
      <alignment horizontal="center"/>
    </xf>
    <xf numFmtId="165" fontId="11" fillId="3" borderId="19" xfId="0" applyNumberFormat="1" applyFont="1" applyFill="1" applyBorder="1" applyAlignment="1">
      <alignment horizontal="center"/>
    </xf>
    <xf numFmtId="165" fontId="11" fillId="3" borderId="28" xfId="0" applyNumberFormat="1" applyFont="1" applyFill="1" applyBorder="1" applyAlignment="1">
      <alignment horizontal="center"/>
    </xf>
    <xf numFmtId="165" fontId="18" fillId="3" borderId="28" xfId="0" applyNumberFormat="1" applyFont="1" applyFill="1" applyBorder="1" applyAlignment="1">
      <alignment horizontal="center"/>
    </xf>
    <xf numFmtId="44" fontId="19" fillId="5" borderId="28" xfId="0" applyNumberFormat="1" applyFont="1" applyFill="1" applyBorder="1" applyAlignment="1">
      <alignment horizontal="center"/>
    </xf>
    <xf numFmtId="165" fontId="11" fillId="3" borderId="33" xfId="0" applyNumberFormat="1" applyFont="1" applyFill="1" applyBorder="1" applyAlignment="1">
      <alignment horizontal="center"/>
    </xf>
    <xf numFmtId="0" fontId="17" fillId="2" borderId="35" xfId="0" applyFont="1" applyFill="1" applyBorder="1" applyAlignment="1">
      <alignment vertical="top"/>
    </xf>
    <xf numFmtId="44" fontId="19" fillId="5" borderId="25" xfId="0" applyNumberFormat="1" applyFont="1" applyFill="1" applyBorder="1" applyAlignment="1">
      <alignment horizontal="center"/>
    </xf>
    <xf numFmtId="0" fontId="11" fillId="0" borderId="6" xfId="0" applyFont="1" applyBorder="1"/>
    <xf numFmtId="165" fontId="11" fillId="3" borderId="7" xfId="0" applyNumberFormat="1" applyFont="1" applyFill="1" applyBorder="1" applyAlignment="1">
      <alignment horizontal="center"/>
    </xf>
    <xf numFmtId="165" fontId="11" fillId="3" borderId="24" xfId="0" applyNumberFormat="1" applyFont="1" applyFill="1" applyBorder="1" applyAlignment="1">
      <alignment horizontal="center"/>
    </xf>
    <xf numFmtId="0" fontId="17" fillId="2" borderId="38" xfId="0" applyFont="1" applyFill="1" applyBorder="1" applyAlignment="1">
      <alignment vertical="top"/>
    </xf>
    <xf numFmtId="0" fontId="11" fillId="2" borderId="38" xfId="0" applyFont="1" applyFill="1" applyBorder="1" applyAlignment="1">
      <alignment vertical="top"/>
    </xf>
    <xf numFmtId="2" fontId="6" fillId="0" borderId="0" xfId="0" applyNumberFormat="1" applyFont="1" applyAlignment="1">
      <alignment horizontal="right"/>
    </xf>
    <xf numFmtId="0" fontId="2" fillId="0" borderId="6" xfId="0" applyFont="1" applyBorder="1" applyAlignment="1">
      <alignment horizontal="left"/>
    </xf>
    <xf numFmtId="0" fontId="11" fillId="0" borderId="36" xfId="0" applyFont="1" applyBorder="1" applyAlignment="1"/>
    <xf numFmtId="165" fontId="11" fillId="3" borderId="36" xfId="0" applyNumberFormat="1" applyFont="1" applyFill="1" applyBorder="1" applyAlignment="1">
      <alignment horizontal="center"/>
    </xf>
    <xf numFmtId="0" fontId="2" fillId="0" borderId="16" xfId="0" applyFont="1" applyBorder="1" applyAlignment="1">
      <alignment horizontal="center"/>
    </xf>
    <xf numFmtId="167" fontId="11" fillId="3" borderId="16" xfId="0" applyNumberFormat="1" applyFont="1" applyFill="1" applyBorder="1" applyAlignment="1">
      <alignment horizontal="center"/>
    </xf>
    <xf numFmtId="0" fontId="11" fillId="0" borderId="36" xfId="0" applyFont="1" applyBorder="1" applyAlignment="1">
      <alignment horizontal="left"/>
    </xf>
    <xf numFmtId="0" fontId="3" fillId="2" borderId="36" xfId="0" applyFont="1" applyFill="1" applyBorder="1" applyAlignment="1">
      <alignment horizontal="left" vertical="top"/>
    </xf>
    <xf numFmtId="0" fontId="2" fillId="0" borderId="36" xfId="0" applyFont="1" applyBorder="1" applyAlignment="1">
      <alignment horizontal="center"/>
    </xf>
    <xf numFmtId="167" fontId="11" fillId="3" borderId="36" xfId="0" applyNumberFormat="1" applyFont="1" applyFill="1" applyBorder="1" applyAlignment="1">
      <alignment horizontal="center"/>
    </xf>
    <xf numFmtId="0" fontId="3" fillId="0" borderId="4" xfId="0" applyFont="1" applyBorder="1" applyAlignment="1">
      <alignment horizontal="left" vertical="center"/>
    </xf>
    <xf numFmtId="0" fontId="3" fillId="2" borderId="4" xfId="0" applyFont="1" applyFill="1" applyBorder="1" applyAlignment="1">
      <alignment horizontal="left" vertical="center"/>
    </xf>
    <xf numFmtId="0" fontId="11" fillId="0" borderId="17" xfId="0" applyFont="1" applyBorder="1" applyAlignment="1">
      <alignment horizontal="left"/>
    </xf>
    <xf numFmtId="0" fontId="3" fillId="2" borderId="28" xfId="0" applyFont="1" applyFill="1" applyBorder="1" applyAlignment="1">
      <alignment horizontal="left"/>
    </xf>
    <xf numFmtId="0" fontId="3" fillId="2" borderId="33" xfId="0" applyFont="1" applyFill="1" applyBorder="1" applyAlignment="1">
      <alignment horizontal="left"/>
    </xf>
    <xf numFmtId="0" fontId="2" fillId="0" borderId="6" xfId="0" applyFont="1" applyBorder="1" applyAlignment="1">
      <alignment vertical="top" wrapText="1"/>
    </xf>
    <xf numFmtId="0" fontId="11" fillId="0" borderId="21" xfId="0" applyFont="1" applyBorder="1"/>
    <xf numFmtId="0" fontId="3" fillId="2" borderId="24" xfId="0" applyFont="1" applyFill="1" applyBorder="1" applyAlignment="1">
      <alignment horizontal="left"/>
    </xf>
    <xf numFmtId="0" fontId="17" fillId="2" borderId="15" xfId="0" applyFont="1" applyFill="1" applyBorder="1" applyAlignment="1">
      <alignment horizontal="right" vertical="center"/>
    </xf>
    <xf numFmtId="0" fontId="2" fillId="0" borderId="36" xfId="0" applyFont="1" applyBorder="1" applyAlignment="1">
      <alignment horizontal="left" vertical="center" wrapText="1"/>
    </xf>
    <xf numFmtId="0" fontId="11" fillId="0" borderId="36" xfId="0" applyFont="1" applyBorder="1" applyAlignment="1">
      <alignment horizontal="left" vertical="center"/>
    </xf>
    <xf numFmtId="3" fontId="2" fillId="0" borderId="36" xfId="0" applyNumberFormat="1" applyFont="1" applyBorder="1" applyAlignment="1">
      <alignment horizontal="center" vertical="center"/>
    </xf>
    <xf numFmtId="165" fontId="11" fillId="3" borderId="36" xfId="0" applyNumberFormat="1" applyFont="1" applyFill="1" applyBorder="1" applyAlignment="1">
      <alignment horizontal="center" vertical="center"/>
    </xf>
    <xf numFmtId="8" fontId="11" fillId="3" borderId="36" xfId="0" applyNumberFormat="1" applyFont="1" applyFill="1" applyBorder="1" applyAlignment="1">
      <alignment horizontal="right" vertical="center"/>
    </xf>
    <xf numFmtId="2" fontId="5" fillId="0" borderId="0" xfId="0" applyNumberFormat="1" applyFont="1" applyAlignment="1">
      <alignment horizontal="right" vertical="center"/>
    </xf>
    <xf numFmtId="44" fontId="15" fillId="5" borderId="9" xfId="0" applyNumberFormat="1" applyFont="1" applyFill="1" applyBorder="1" applyAlignment="1">
      <alignment horizontal="center"/>
    </xf>
    <xf numFmtId="0" fontId="11" fillId="0" borderId="16" xfId="0" applyFont="1" applyBorder="1" applyAlignment="1">
      <alignment horizontal="left" vertical="center"/>
    </xf>
    <xf numFmtId="0" fontId="2" fillId="0" borderId="21" xfId="0" applyFont="1" applyBorder="1" applyAlignment="1">
      <alignment horizontal="right"/>
    </xf>
    <xf numFmtId="3" fontId="2" fillId="0" borderId="12" xfId="0" applyNumberFormat="1" applyFont="1" applyBorder="1" applyAlignment="1">
      <alignment horizontal="center"/>
    </xf>
    <xf numFmtId="0" fontId="2" fillId="0" borderId="6" xfId="0" applyFont="1" applyBorder="1" applyAlignment="1">
      <alignment horizontal="right"/>
    </xf>
    <xf numFmtId="0" fontId="2" fillId="0" borderId="16" xfId="0" applyFont="1" applyBorder="1" applyAlignment="1">
      <alignment horizontal="left"/>
    </xf>
    <xf numFmtId="0" fontId="2" fillId="0" borderId="21" xfId="0" applyFont="1" applyBorder="1"/>
    <xf numFmtId="0" fontId="11" fillId="0" borderId="6" xfId="0" applyFont="1" applyBorder="1" applyAlignment="1"/>
    <xf numFmtId="0" fontId="11" fillId="2" borderId="59" xfId="0" applyFont="1" applyFill="1" applyBorder="1" applyAlignment="1">
      <alignment vertical="top"/>
    </xf>
    <xf numFmtId="0" fontId="2" fillId="0" borderId="6" xfId="0" applyFont="1" applyBorder="1"/>
    <xf numFmtId="166" fontId="16" fillId="2" borderId="26" xfId="0" applyNumberFormat="1" applyFont="1" applyFill="1" applyBorder="1" applyAlignment="1">
      <alignment horizontal="right"/>
    </xf>
    <xf numFmtId="0" fontId="17" fillId="2" borderId="0" xfId="0" applyFont="1" applyFill="1" applyAlignment="1">
      <alignment vertical="top"/>
    </xf>
    <xf numFmtId="166" fontId="16" fillId="2" borderId="0" xfId="0" applyNumberFormat="1" applyFont="1" applyFill="1" applyAlignment="1">
      <alignment horizontal="right"/>
    </xf>
    <xf numFmtId="44" fontId="4" fillId="5" borderId="0" xfId="0" applyNumberFormat="1" applyFont="1" applyFill="1" applyAlignment="1"/>
    <xf numFmtId="0" fontId="11" fillId="2" borderId="60" xfId="0" applyFont="1" applyFill="1" applyBorder="1" applyAlignment="1">
      <alignment vertical="top"/>
    </xf>
    <xf numFmtId="0" fontId="4" fillId="2" borderId="10" xfId="0" applyFont="1" applyFill="1" applyBorder="1" applyAlignment="1"/>
    <xf numFmtId="44" fontId="4" fillId="5" borderId="10" xfId="0" applyNumberFormat="1" applyFont="1" applyFill="1" applyBorder="1" applyAlignment="1"/>
    <xf numFmtId="0" fontId="2" fillId="0" borderId="4" xfId="0" applyFont="1" applyBorder="1" applyAlignment="1">
      <alignment vertical="top" wrapText="1"/>
    </xf>
    <xf numFmtId="0" fontId="2" fillId="0" borderId="16" xfId="0" applyFont="1" applyBorder="1" applyAlignment="1"/>
    <xf numFmtId="0" fontId="3" fillId="2" borderId="16" xfId="0" applyFont="1" applyFill="1" applyBorder="1" applyAlignment="1">
      <alignment horizontal="left"/>
    </xf>
    <xf numFmtId="0" fontId="3" fillId="2" borderId="6" xfId="0" applyFont="1" applyFill="1" applyBorder="1" applyAlignment="1">
      <alignment horizontal="left"/>
    </xf>
    <xf numFmtId="0" fontId="2" fillId="0" borderId="22" xfId="0" applyFont="1" applyBorder="1" applyAlignment="1">
      <alignment vertical="top" wrapText="1"/>
    </xf>
    <xf numFmtId="0" fontId="3" fillId="2" borderId="21" xfId="0" applyFont="1" applyFill="1" applyBorder="1" applyAlignment="1">
      <alignment horizontal="left"/>
    </xf>
    <xf numFmtId="0" fontId="3" fillId="2" borderId="7" xfId="0" applyFont="1" applyFill="1" applyBorder="1" applyAlignment="1">
      <alignment horizontal="left"/>
    </xf>
    <xf numFmtId="0" fontId="11" fillId="0" borderId="16" xfId="0" applyFont="1" applyBorder="1" applyAlignment="1">
      <alignment vertical="center"/>
    </xf>
    <xf numFmtId="0" fontId="3" fillId="2" borderId="19" xfId="0" applyFont="1" applyFill="1" applyBorder="1" applyAlignment="1">
      <alignment horizontal="left"/>
    </xf>
    <xf numFmtId="0" fontId="2" fillId="0" borderId="21" xfId="0" applyFont="1" applyBorder="1" applyAlignment="1">
      <alignment horizontal="center"/>
    </xf>
    <xf numFmtId="0" fontId="3" fillId="2" borderId="36" xfId="0" applyFont="1" applyFill="1" applyBorder="1" applyAlignment="1">
      <alignment horizontal="left"/>
    </xf>
    <xf numFmtId="0" fontId="11" fillId="2" borderId="0" xfId="0" applyFont="1" applyFill="1" applyAlignment="1">
      <alignment vertical="top"/>
    </xf>
    <xf numFmtId="0" fontId="2" fillId="0" borderId="36" xfId="0" applyFont="1" applyBorder="1" applyAlignment="1">
      <alignment vertical="top" wrapText="1"/>
    </xf>
    <xf numFmtId="0" fontId="3" fillId="2" borderId="36" xfId="0" applyFont="1" applyFill="1" applyBorder="1" applyAlignment="1">
      <alignment horizontal="left" vertical="top"/>
    </xf>
    <xf numFmtId="3" fontId="2" fillId="0" borderId="36" xfId="0" applyNumberFormat="1" applyFont="1" applyBorder="1" applyAlignment="1">
      <alignment horizontal="center"/>
    </xf>
    <xf numFmtId="166" fontId="29" fillId="2" borderId="9" xfId="0" applyNumberFormat="1" applyFont="1" applyFill="1" applyBorder="1" applyAlignment="1">
      <alignment horizontal="right"/>
    </xf>
    <xf numFmtId="44" fontId="19" fillId="2" borderId="9" xfId="0" applyNumberFormat="1" applyFont="1" applyFill="1" applyBorder="1" applyAlignment="1">
      <alignment horizontal="right"/>
    </xf>
    <xf numFmtId="0" fontId="27" fillId="0" borderId="30" xfId="0" applyFont="1" applyBorder="1" applyAlignment="1">
      <alignment horizontal="right" vertical="center"/>
    </xf>
    <xf numFmtId="166" fontId="29" fillId="2" borderId="9" xfId="0" applyNumberFormat="1" applyFont="1" applyFill="1" applyBorder="1" applyAlignment="1">
      <alignment horizontal="right" vertical="center"/>
    </xf>
    <xf numFmtId="44" fontId="34" fillId="2" borderId="9" xfId="0" applyNumberFormat="1" applyFont="1" applyFill="1" applyBorder="1" applyAlignment="1">
      <alignment horizontal="right" vertical="center"/>
    </xf>
    <xf numFmtId="0" fontId="11" fillId="0" borderId="0" xfId="0" applyFont="1" applyAlignment="1">
      <alignment vertical="center"/>
    </xf>
    <xf numFmtId="166" fontId="28" fillId="2" borderId="9" xfId="0" applyNumberFormat="1" applyFont="1" applyFill="1" applyBorder="1" applyAlignment="1">
      <alignment horizontal="right" vertical="center"/>
    </xf>
    <xf numFmtId="44" fontId="27" fillId="5" borderId="9" xfId="0" applyNumberFormat="1" applyFont="1" applyFill="1" applyBorder="1" applyAlignment="1">
      <alignment horizontal="center" vertical="center"/>
    </xf>
    <xf numFmtId="0" fontId="11" fillId="3" borderId="19" xfId="0" applyFont="1" applyFill="1" applyBorder="1"/>
    <xf numFmtId="44" fontId="15" fillId="5" borderId="19" xfId="0" applyNumberFormat="1" applyFont="1" applyFill="1" applyBorder="1"/>
    <xf numFmtId="44" fontId="15" fillId="5" borderId="9" xfId="0" applyNumberFormat="1" applyFont="1" applyFill="1" applyBorder="1" applyAlignment="1">
      <alignment horizontal="right"/>
    </xf>
    <xf numFmtId="0" fontId="11" fillId="0" borderId="22" xfId="0" applyFont="1" applyBorder="1"/>
    <xf numFmtId="0" fontId="11" fillId="3" borderId="24" xfId="0" applyFont="1" applyFill="1" applyBorder="1"/>
    <xf numFmtId="44" fontId="15" fillId="5" borderId="24" xfId="0" applyNumberFormat="1" applyFont="1" applyFill="1" applyBorder="1"/>
    <xf numFmtId="0" fontId="35" fillId="2" borderId="24" xfId="0" applyFont="1" applyFill="1" applyBorder="1" applyAlignment="1">
      <alignment horizontal="left" wrapText="1"/>
    </xf>
    <xf numFmtId="0" fontId="3" fillId="2" borderId="24" xfId="0" applyFont="1" applyFill="1" applyBorder="1" applyAlignment="1">
      <alignment horizontal="left" vertical="top"/>
    </xf>
    <xf numFmtId="0" fontId="35" fillId="2" borderId="36" xfId="0" applyFont="1" applyFill="1" applyBorder="1" applyAlignment="1">
      <alignment horizontal="left" wrapText="1"/>
    </xf>
    <xf numFmtId="44" fontId="15" fillId="5" borderId="36" xfId="0" applyNumberFormat="1" applyFont="1" applyFill="1" applyBorder="1" applyAlignment="1">
      <alignment horizontal="center"/>
    </xf>
    <xf numFmtId="0" fontId="14" fillId="2" borderId="16" xfId="0" applyFont="1" applyFill="1" applyBorder="1" applyAlignment="1">
      <alignment horizontal="left" wrapText="1"/>
    </xf>
    <xf numFmtId="0" fontId="2" fillId="0" borderId="22" xfId="0" applyFont="1" applyBorder="1" applyAlignment="1">
      <alignment horizontal="right"/>
    </xf>
    <xf numFmtId="0" fontId="3" fillId="2" borderId="21" xfId="0" applyFont="1" applyFill="1" applyBorder="1" applyAlignment="1">
      <alignment horizontal="left" wrapText="1"/>
    </xf>
    <xf numFmtId="0" fontId="2" fillId="2" borderId="7" xfId="0" applyFont="1" applyFill="1" applyBorder="1" applyAlignment="1">
      <alignment horizontal="left"/>
    </xf>
    <xf numFmtId="0" fontId="2" fillId="2" borderId="24" xfId="0" applyFont="1" applyFill="1" applyBorder="1" applyAlignment="1">
      <alignment horizontal="left" wrapText="1"/>
    </xf>
    <xf numFmtId="0" fontId="3" fillId="2" borderId="19" xfId="0" applyFont="1" applyFill="1" applyBorder="1" applyAlignment="1">
      <alignment horizontal="left" wrapText="1"/>
    </xf>
    <xf numFmtId="0" fontId="3" fillId="2" borderId="28" xfId="0" applyFont="1" applyFill="1" applyBorder="1" applyAlignment="1">
      <alignment horizontal="left" wrapText="1"/>
    </xf>
    <xf numFmtId="0" fontId="3" fillId="2" borderId="21" xfId="0" applyFont="1" applyFill="1" applyBorder="1" applyAlignment="1">
      <alignment horizontal="left" vertical="top" wrapText="1"/>
    </xf>
    <xf numFmtId="0" fontId="3" fillId="2" borderId="24" xfId="0" applyFont="1" applyFill="1" applyBorder="1" applyAlignment="1">
      <alignment horizontal="left" wrapText="1"/>
    </xf>
    <xf numFmtId="0" fontId="3" fillId="2" borderId="16" xfId="0" applyFont="1" applyFill="1" applyBorder="1" applyAlignment="1">
      <alignment horizontal="left" wrapText="1"/>
    </xf>
    <xf numFmtId="0" fontId="2" fillId="0" borderId="4" xfId="0" applyFont="1" applyBorder="1" applyAlignment="1">
      <alignment horizontal="right"/>
    </xf>
    <xf numFmtId="44" fontId="15" fillId="5" borderId="25" xfId="0" applyNumberFormat="1" applyFont="1" applyFill="1" applyBorder="1" applyAlignment="1">
      <alignment horizontal="center"/>
    </xf>
    <xf numFmtId="44" fontId="15" fillId="5" borderId="14" xfId="0" applyNumberFormat="1" applyFont="1" applyFill="1" applyBorder="1" applyAlignment="1">
      <alignment horizontal="center"/>
    </xf>
    <xf numFmtId="0" fontId="3" fillId="2" borderId="21" xfId="0" applyFont="1" applyFill="1" applyBorder="1" applyAlignment="1">
      <alignment horizontal="left" vertical="top" wrapText="1"/>
    </xf>
    <xf numFmtId="0" fontId="2" fillId="0" borderId="36" xfId="0" applyFont="1" applyBorder="1" applyAlignment="1">
      <alignment horizontal="left" wrapText="1"/>
    </xf>
    <xf numFmtId="0" fontId="11" fillId="0" borderId="4" xfId="0" applyFont="1" applyBorder="1" applyAlignment="1">
      <alignment horizontal="left"/>
    </xf>
    <xf numFmtId="0" fontId="2" fillId="0" borderId="6" xfId="0" applyFont="1" applyBorder="1" applyAlignment="1">
      <alignment horizontal="center"/>
    </xf>
    <xf numFmtId="0" fontId="11" fillId="3" borderId="28" xfId="0" applyFont="1" applyFill="1" applyBorder="1" applyAlignment="1">
      <alignment horizontal="center"/>
    </xf>
    <xf numFmtId="3" fontId="2" fillId="0" borderId="6" xfId="0" applyNumberFormat="1" applyFont="1" applyBorder="1" applyAlignment="1">
      <alignment horizontal="center"/>
    </xf>
    <xf numFmtId="0" fontId="3" fillId="2" borderId="33" xfId="0" applyFont="1" applyFill="1" applyBorder="1" applyAlignment="1">
      <alignment horizontal="left"/>
    </xf>
    <xf numFmtId="44" fontId="15" fillId="5" borderId="33" xfId="0" applyNumberFormat="1" applyFont="1" applyFill="1" applyBorder="1" applyAlignment="1">
      <alignment horizontal="center"/>
    </xf>
    <xf numFmtId="44" fontId="15" fillId="5" borderId="62" xfId="0" applyNumberFormat="1" applyFont="1" applyFill="1" applyBorder="1" applyAlignment="1">
      <alignment horizontal="center"/>
    </xf>
    <xf numFmtId="0" fontId="11" fillId="3" borderId="16" xfId="0" applyFont="1" applyFill="1" applyBorder="1"/>
    <xf numFmtId="0" fontId="14" fillId="2" borderId="21" xfId="0" applyFont="1" applyFill="1" applyBorder="1" applyAlignment="1">
      <alignment horizontal="left"/>
    </xf>
    <xf numFmtId="0" fontId="17" fillId="2" borderId="0" xfId="0" applyFont="1" applyFill="1" applyAlignment="1">
      <alignment horizontal="left"/>
    </xf>
    <xf numFmtId="0" fontId="2" fillId="2" borderId="21" xfId="0" applyFont="1" applyFill="1" applyBorder="1" applyAlignment="1">
      <alignment vertical="top" wrapText="1"/>
    </xf>
    <xf numFmtId="0" fontId="2" fillId="2" borderId="21" xfId="0" applyFont="1" applyFill="1" applyBorder="1" applyAlignment="1">
      <alignment horizontal="right"/>
    </xf>
    <xf numFmtId="0" fontId="2" fillId="2" borderId="21" xfId="0" applyFont="1" applyFill="1" applyBorder="1" applyAlignment="1">
      <alignment wrapText="1"/>
    </xf>
    <xf numFmtId="3" fontId="2" fillId="2" borderId="21" xfId="0" applyNumberFormat="1" applyFont="1" applyFill="1" applyBorder="1" applyAlignment="1">
      <alignment horizontal="center"/>
    </xf>
    <xf numFmtId="0" fontId="2" fillId="2" borderId="6" xfId="0" applyFont="1" applyFill="1" applyBorder="1" applyAlignment="1">
      <alignment vertical="top" wrapText="1"/>
    </xf>
    <xf numFmtId="0" fontId="11" fillId="2" borderId="6" xfId="0" applyFont="1" applyFill="1" applyBorder="1" applyAlignment="1"/>
    <xf numFmtId="0" fontId="2" fillId="2" borderId="6" xfId="0" applyFont="1" applyFill="1" applyBorder="1" applyAlignment="1">
      <alignment wrapText="1"/>
    </xf>
    <xf numFmtId="3" fontId="2" fillId="2" borderId="6" xfId="0" applyNumberFormat="1" applyFont="1" applyFill="1" applyBorder="1" applyAlignment="1">
      <alignment horizontal="center"/>
    </xf>
    <xf numFmtId="44" fontId="11" fillId="8" borderId="6" xfId="0" applyNumberFormat="1" applyFont="1" applyFill="1" applyBorder="1" applyAlignment="1">
      <alignment horizontal="center"/>
    </xf>
    <xf numFmtId="0" fontId="2" fillId="2" borderId="6" xfId="0" applyFont="1" applyFill="1" applyBorder="1" applyAlignment="1">
      <alignment horizontal="right"/>
    </xf>
    <xf numFmtId="0" fontId="18" fillId="2" borderId="6" xfId="0" applyFont="1" applyFill="1" applyBorder="1" applyAlignment="1"/>
    <xf numFmtId="0" fontId="11" fillId="2" borderId="6" xfId="0" applyFont="1" applyFill="1" applyBorder="1"/>
    <xf numFmtId="44" fontId="15" fillId="5" borderId="18" xfId="0" applyNumberFormat="1" applyFont="1" applyFill="1" applyBorder="1" applyAlignment="1">
      <alignment horizontal="center"/>
    </xf>
    <xf numFmtId="44" fontId="4" fillId="5" borderId="9" xfId="0" applyNumberFormat="1" applyFont="1" applyFill="1" applyBorder="1" applyAlignment="1"/>
    <xf numFmtId="0" fontId="11" fillId="2" borderId="21" xfId="0" applyFont="1" applyFill="1" applyBorder="1"/>
    <xf numFmtId="44" fontId="11" fillId="8" borderId="21" xfId="0" applyNumberFormat="1" applyFont="1" applyFill="1" applyBorder="1" applyAlignment="1">
      <alignment horizontal="center"/>
    </xf>
    <xf numFmtId="0" fontId="3" fillId="9" borderId="28" xfId="0" applyFont="1" applyFill="1" applyBorder="1" applyAlignment="1">
      <alignment horizontal="left"/>
    </xf>
    <xf numFmtId="0" fontId="3" fillId="9" borderId="21" xfId="0" applyFont="1" applyFill="1" applyBorder="1" applyAlignment="1">
      <alignment horizontal="left" vertical="top"/>
    </xf>
    <xf numFmtId="0" fontId="2" fillId="2" borderId="16" xfId="0" applyFont="1" applyFill="1" applyBorder="1" applyAlignment="1">
      <alignment vertical="top" wrapText="1"/>
    </xf>
    <xf numFmtId="0" fontId="3" fillId="2" borderId="16" xfId="0" applyFont="1" applyFill="1" applyBorder="1" applyAlignment="1">
      <alignment horizontal="left" wrapText="1"/>
    </xf>
    <xf numFmtId="0" fontId="11" fillId="0" borderId="0" xfId="0" applyFont="1"/>
    <xf numFmtId="3" fontId="3" fillId="0" borderId="36" xfId="0" applyNumberFormat="1" applyFont="1" applyBorder="1" applyAlignment="1">
      <alignment horizontal="center"/>
    </xf>
    <xf numFmtId="167" fontId="11" fillId="3" borderId="19" xfId="0" applyNumberFormat="1" applyFont="1" applyFill="1" applyBorder="1" applyAlignment="1">
      <alignment horizontal="center"/>
    </xf>
    <xf numFmtId="0" fontId="3" fillId="2" borderId="6" xfId="0" applyFont="1" applyFill="1" applyBorder="1" applyAlignment="1">
      <alignment horizontal="left" vertical="top" wrapText="1"/>
    </xf>
    <xf numFmtId="44" fontId="19" fillId="5" borderId="27" xfId="0" applyNumberFormat="1" applyFont="1" applyFill="1" applyBorder="1" applyAlignment="1">
      <alignment horizontal="center"/>
    </xf>
    <xf numFmtId="0" fontId="11" fillId="4" borderId="19" xfId="0" applyFont="1" applyFill="1" applyBorder="1" applyAlignment="1">
      <alignment horizontal="center"/>
    </xf>
    <xf numFmtId="0" fontId="17" fillId="0" borderId="16" xfId="0" applyFont="1" applyBorder="1" applyAlignment="1"/>
    <xf numFmtId="0" fontId="11" fillId="0" borderId="64" xfId="0" applyFont="1" applyBorder="1" applyAlignment="1">
      <alignment horizontal="left"/>
    </xf>
    <xf numFmtId="0" fontId="3" fillId="2" borderId="64" xfId="0" applyFont="1" applyFill="1" applyBorder="1" applyAlignment="1">
      <alignment horizontal="left" vertical="top"/>
    </xf>
    <xf numFmtId="0" fontId="2" fillId="0" borderId="64" xfId="0" applyFont="1" applyBorder="1" applyAlignment="1">
      <alignment wrapText="1"/>
    </xf>
    <xf numFmtId="3" fontId="2" fillId="0" borderId="64" xfId="0" applyNumberFormat="1" applyFont="1" applyBorder="1" applyAlignment="1">
      <alignment horizontal="center"/>
    </xf>
    <xf numFmtId="165" fontId="11" fillId="3" borderId="65" xfId="0" applyNumberFormat="1" applyFont="1" applyFill="1" applyBorder="1" applyAlignment="1">
      <alignment horizontal="center"/>
    </xf>
    <xf numFmtId="8" fontId="11" fillId="3" borderId="64" xfId="0" applyNumberFormat="1" applyFont="1" applyFill="1" applyBorder="1"/>
    <xf numFmtId="44" fontId="15" fillId="5" borderId="65" xfId="0" applyNumberFormat="1" applyFont="1" applyFill="1" applyBorder="1" applyAlignment="1">
      <alignment horizontal="center"/>
    </xf>
    <xf numFmtId="0" fontId="2" fillId="0" borderId="67" xfId="0" applyFont="1" applyBorder="1" applyAlignment="1">
      <alignment horizontal="right"/>
    </xf>
    <xf numFmtId="0" fontId="3" fillId="2" borderId="67" xfId="0" applyFont="1" applyFill="1" applyBorder="1" applyAlignment="1">
      <alignment horizontal="left" vertical="top"/>
    </xf>
    <xf numFmtId="0" fontId="2" fillId="0" borderId="67" xfId="0" applyFont="1" applyBorder="1" applyAlignment="1">
      <alignment wrapText="1"/>
    </xf>
    <xf numFmtId="3" fontId="2" fillId="0" borderId="67" xfId="0" applyNumberFormat="1" applyFont="1" applyBorder="1" applyAlignment="1">
      <alignment horizontal="center"/>
    </xf>
    <xf numFmtId="165" fontId="11" fillId="3" borderId="62" xfId="0" applyNumberFormat="1" applyFont="1" applyFill="1" applyBorder="1" applyAlignment="1">
      <alignment horizontal="center"/>
    </xf>
    <xf numFmtId="8" fontId="11" fillId="3" borderId="67" xfId="0" applyNumberFormat="1" applyFont="1" applyFill="1" applyBorder="1"/>
    <xf numFmtId="0" fontId="18" fillId="3" borderId="6" xfId="0" applyFont="1" applyFill="1" applyBorder="1"/>
    <xf numFmtId="0" fontId="11" fillId="0" borderId="16" xfId="0" applyFont="1" applyBorder="1" applyAlignment="1">
      <alignment horizontal="left" wrapText="1"/>
    </xf>
    <xf numFmtId="0" fontId="11" fillId="2" borderId="15" xfId="0" applyFont="1" applyFill="1" applyBorder="1" applyAlignment="1">
      <alignment horizontal="left" vertical="top"/>
    </xf>
    <xf numFmtId="166" fontId="25" fillId="2" borderId="9" xfId="0" applyNumberFormat="1" applyFont="1" applyFill="1" applyBorder="1" applyAlignment="1"/>
    <xf numFmtId="0" fontId="27" fillId="0" borderId="13" xfId="0" applyFont="1" applyBorder="1" applyAlignment="1">
      <alignment horizontal="right" vertical="center"/>
    </xf>
    <xf numFmtId="166" fontId="37" fillId="8" borderId="9" xfId="0" applyNumberFormat="1" applyFont="1" applyFill="1" applyBorder="1" applyAlignment="1">
      <alignment horizontal="right" vertical="center"/>
    </xf>
    <xf numFmtId="44" fontId="28" fillId="0" borderId="9" xfId="0" applyNumberFormat="1" applyFont="1" applyBorder="1" applyAlignment="1">
      <alignment vertical="center"/>
    </xf>
    <xf numFmtId="0" fontId="2" fillId="2" borderId="0" xfId="0" applyFont="1" applyFill="1" applyAlignment="1">
      <alignment vertical="center"/>
    </xf>
    <xf numFmtId="166" fontId="28" fillId="2" borderId="9" xfId="0" applyNumberFormat="1" applyFont="1" applyFill="1" applyBorder="1" applyAlignment="1">
      <alignment vertical="center"/>
    </xf>
    <xf numFmtId="44" fontId="28" fillId="5" borderId="9" xfId="0" applyNumberFormat="1" applyFont="1" applyFill="1" applyBorder="1" applyAlignment="1">
      <alignment vertical="center"/>
    </xf>
    <xf numFmtId="167" fontId="18" fillId="3" borderId="21" xfId="0" applyNumberFormat="1" applyFont="1" applyFill="1" applyBorder="1" applyAlignment="1">
      <alignment horizontal="center"/>
    </xf>
    <xf numFmtId="167" fontId="11" fillId="3" borderId="21" xfId="0" applyNumberFormat="1" applyFont="1" applyFill="1" applyBorder="1" applyAlignment="1">
      <alignment horizontal="center"/>
    </xf>
    <xf numFmtId="0" fontId="2" fillId="0" borderId="36" xfId="0" applyFont="1" applyBorder="1"/>
    <xf numFmtId="0" fontId="2" fillId="0" borderId="16" xfId="0" applyFont="1" applyBorder="1" applyAlignment="1">
      <alignment horizontal="left" vertical="center" wrapText="1"/>
    </xf>
    <xf numFmtId="0" fontId="11" fillId="0" borderId="16" xfId="0" applyFont="1" applyBorder="1" applyAlignment="1">
      <alignment horizontal="left" vertical="center"/>
    </xf>
    <xf numFmtId="0" fontId="2" fillId="0" borderId="16" xfId="0" applyFont="1" applyBorder="1" applyAlignment="1">
      <alignment horizontal="center" vertical="center" wrapText="1"/>
    </xf>
    <xf numFmtId="3" fontId="2" fillId="0" borderId="16" xfId="0" applyNumberFormat="1" applyFont="1" applyBorder="1" applyAlignment="1">
      <alignment horizontal="center" vertical="center"/>
    </xf>
    <xf numFmtId="167" fontId="11" fillId="3" borderId="16" xfId="0" applyNumberFormat="1" applyFont="1" applyFill="1" applyBorder="1" applyAlignment="1">
      <alignment horizontal="center" vertical="center"/>
    </xf>
    <xf numFmtId="8" fontId="11" fillId="3" borderId="16" xfId="0" applyNumberFormat="1" applyFont="1" applyFill="1" applyBorder="1" applyAlignment="1">
      <alignment horizontal="right" vertical="center"/>
    </xf>
    <xf numFmtId="44" fontId="15" fillId="5" borderId="36" xfId="0" applyNumberFormat="1" applyFont="1" applyFill="1" applyBorder="1" applyAlignment="1">
      <alignment horizontal="center" vertical="center"/>
    </xf>
    <xf numFmtId="167" fontId="11" fillId="3" borderId="24" xfId="0" applyNumberFormat="1" applyFont="1" applyFill="1" applyBorder="1" applyAlignment="1">
      <alignment horizontal="center"/>
    </xf>
    <xf numFmtId="167" fontId="11" fillId="3" borderId="33" xfId="0" applyNumberFormat="1" applyFont="1" applyFill="1" applyBorder="1" applyAlignment="1">
      <alignment horizontal="center"/>
    </xf>
    <xf numFmtId="167" fontId="11" fillId="3" borderId="6" xfId="0" applyNumberFormat="1" applyFont="1" applyFill="1" applyBorder="1" applyAlignment="1">
      <alignment horizontal="center"/>
    </xf>
    <xf numFmtId="0" fontId="11" fillId="0" borderId="16" xfId="0" applyFont="1" applyBorder="1" applyAlignment="1">
      <alignment horizontal="left"/>
    </xf>
    <xf numFmtId="0" fontId="11" fillId="0" borderId="6" xfId="0" applyFont="1" applyBorder="1" applyAlignment="1">
      <alignment horizontal="left"/>
    </xf>
    <xf numFmtId="0" fontId="11" fillId="0" borderId="36" xfId="0" applyFont="1" applyBorder="1" applyAlignment="1">
      <alignment wrapText="1"/>
    </xf>
    <xf numFmtId="0" fontId="3" fillId="2" borderId="36" xfId="0" applyFont="1" applyFill="1" applyBorder="1" applyAlignment="1">
      <alignment horizontal="left" vertical="top" wrapText="1"/>
    </xf>
    <xf numFmtId="0" fontId="11" fillId="0" borderId="36" xfId="0" applyFont="1" applyBorder="1" applyAlignment="1">
      <alignment horizontal="left"/>
    </xf>
    <xf numFmtId="0" fontId="17" fillId="2" borderId="0" xfId="0" applyFont="1" applyFill="1" applyAlignment="1">
      <alignment vertical="top"/>
    </xf>
    <xf numFmtId="49" fontId="38" fillId="2" borderId="13" xfId="0" applyNumberFormat="1" applyFont="1" applyFill="1" applyBorder="1" applyAlignment="1">
      <alignment horizontal="center"/>
    </xf>
    <xf numFmtId="0" fontId="39" fillId="0" borderId="0" xfId="0" applyFont="1"/>
    <xf numFmtId="166" fontId="40" fillId="8" borderId="9" xfId="0" applyNumberFormat="1" applyFont="1" applyFill="1" applyBorder="1" applyAlignment="1">
      <alignment horizontal="right"/>
    </xf>
    <xf numFmtId="2" fontId="3" fillId="2" borderId="36" xfId="0" applyNumberFormat="1" applyFont="1" applyFill="1" applyBorder="1" applyAlignment="1">
      <alignment horizontal="left" vertical="top" wrapText="1"/>
    </xf>
    <xf numFmtId="44" fontId="15" fillId="5" borderId="69" xfId="0" applyNumberFormat="1" applyFont="1" applyFill="1" applyBorder="1" applyAlignment="1">
      <alignment horizontal="center"/>
    </xf>
    <xf numFmtId="0" fontId="11" fillId="2" borderId="0" xfId="0" applyFont="1" applyFill="1" applyAlignment="1">
      <alignment vertical="top"/>
    </xf>
    <xf numFmtId="44" fontId="4" fillId="0" borderId="9" xfId="0" applyNumberFormat="1" applyFont="1" applyBorder="1" applyAlignment="1"/>
    <xf numFmtId="0" fontId="2" fillId="2" borderId="0" xfId="0" applyFont="1" applyFill="1" applyAlignment="1">
      <alignment horizontal="right" vertical="center"/>
    </xf>
    <xf numFmtId="0" fontId="27" fillId="0" borderId="71" xfId="0" applyFont="1" applyBorder="1" applyAlignment="1">
      <alignment horizontal="right" vertical="center"/>
    </xf>
    <xf numFmtId="166" fontId="37" fillId="2" borderId="9" xfId="0" applyNumberFormat="1" applyFont="1" applyFill="1" applyBorder="1" applyAlignment="1">
      <alignment horizontal="right" vertical="center"/>
    </xf>
    <xf numFmtId="0" fontId="18" fillId="0" borderId="16" xfId="0" applyFont="1" applyBorder="1" applyAlignment="1">
      <alignment wrapText="1"/>
    </xf>
    <xf numFmtId="0" fontId="11" fillId="0" borderId="36" xfId="0" applyFont="1" applyBorder="1"/>
    <xf numFmtId="0" fontId="2" fillId="0" borderId="6" xfId="0" applyFont="1" applyBorder="1" applyAlignment="1">
      <alignment horizontal="left" wrapText="1"/>
    </xf>
    <xf numFmtId="2" fontId="5" fillId="0" borderId="74" xfId="0" applyNumberFormat="1" applyFont="1" applyBorder="1" applyAlignment="1">
      <alignment horizontal="right"/>
    </xf>
    <xf numFmtId="0" fontId="2" fillId="0" borderId="67" xfId="0" applyFont="1" applyBorder="1" applyAlignment="1">
      <alignment vertical="top" wrapText="1"/>
    </xf>
    <xf numFmtId="0" fontId="11" fillId="0" borderId="67" xfId="0" applyFont="1" applyBorder="1"/>
    <xf numFmtId="170" fontId="15" fillId="5" borderId="9" xfId="0" applyNumberFormat="1" applyFont="1" applyFill="1" applyBorder="1" applyAlignment="1">
      <alignment horizontal="center"/>
    </xf>
    <xf numFmtId="0" fontId="11" fillId="0" borderId="36" xfId="0" applyFont="1" applyBorder="1" applyAlignment="1">
      <alignment horizontal="left" vertical="top"/>
    </xf>
    <xf numFmtId="0" fontId="41" fillId="6" borderId="16" xfId="0" applyFont="1" applyFill="1" applyBorder="1" applyAlignment="1">
      <alignment vertical="center" wrapText="1"/>
    </xf>
    <xf numFmtId="0" fontId="41" fillId="6" borderId="16" xfId="0" applyFont="1" applyFill="1" applyBorder="1" applyAlignment="1">
      <alignment horizontal="left"/>
    </xf>
    <xf numFmtId="0" fontId="41" fillId="6" borderId="16" xfId="0" applyFont="1" applyFill="1" applyBorder="1" applyAlignment="1">
      <alignment horizontal="left" vertical="top"/>
    </xf>
    <xf numFmtId="0" fontId="3" fillId="0" borderId="16" xfId="0" applyFont="1" applyBorder="1" applyAlignment="1">
      <alignment wrapText="1"/>
    </xf>
    <xf numFmtId="3" fontId="3" fillId="0" borderId="16" xfId="0" applyNumberFormat="1" applyFont="1" applyBorder="1" applyAlignment="1">
      <alignment horizontal="center"/>
    </xf>
    <xf numFmtId="44" fontId="17" fillId="4" borderId="16" xfId="0" applyNumberFormat="1" applyFont="1" applyFill="1" applyBorder="1" applyAlignment="1">
      <alignment horizontal="center"/>
    </xf>
    <xf numFmtId="165" fontId="17" fillId="3" borderId="16" xfId="0" applyNumberFormat="1" applyFont="1" applyFill="1" applyBorder="1" applyAlignment="1">
      <alignment horizontal="center"/>
    </xf>
    <xf numFmtId="167" fontId="17" fillId="3" borderId="16" xfId="0" applyNumberFormat="1" applyFont="1" applyFill="1" applyBorder="1"/>
    <xf numFmtId="44" fontId="15" fillId="5" borderId="75" xfId="0" applyNumberFormat="1" applyFont="1" applyFill="1" applyBorder="1" applyAlignment="1">
      <alignment horizontal="center"/>
    </xf>
    <xf numFmtId="0" fontId="2" fillId="0" borderId="21" xfId="0" applyFont="1" applyBorder="1" applyAlignment="1">
      <alignment horizontal="center" wrapText="1"/>
    </xf>
    <xf numFmtId="0" fontId="2" fillId="2" borderId="19" xfId="0" applyFont="1" applyFill="1" applyBorder="1" applyAlignment="1">
      <alignment vertical="top" wrapText="1"/>
    </xf>
    <xf numFmtId="0" fontId="2" fillId="2" borderId="24" xfId="0" applyFont="1" applyFill="1" applyBorder="1" applyAlignment="1">
      <alignment vertical="top" wrapText="1"/>
    </xf>
    <xf numFmtId="0" fontId="2" fillId="2" borderId="28" xfId="0" applyFont="1" applyFill="1" applyBorder="1" applyAlignment="1">
      <alignment vertical="top" wrapText="1"/>
    </xf>
    <xf numFmtId="0" fontId="2" fillId="0" borderId="16" xfId="0" applyFont="1" applyBorder="1" applyAlignment="1">
      <alignment horizontal="center" wrapText="1"/>
    </xf>
    <xf numFmtId="44" fontId="11" fillId="4" borderId="33" xfId="0" applyNumberFormat="1" applyFont="1" applyFill="1" applyBorder="1" applyAlignment="1">
      <alignment horizontal="center"/>
    </xf>
    <xf numFmtId="10" fontId="27" fillId="8" borderId="0" xfId="0" applyNumberFormat="1" applyFont="1" applyFill="1" applyAlignment="1">
      <alignment vertical="center"/>
    </xf>
    <xf numFmtId="0" fontId="17" fillId="2" borderId="76" xfId="0" applyFont="1" applyFill="1" applyBorder="1" applyAlignment="1">
      <alignment vertical="top"/>
    </xf>
    <xf numFmtId="0" fontId="17" fillId="2" borderId="3" xfId="0" applyFont="1" applyFill="1" applyBorder="1" applyAlignment="1">
      <alignment vertical="top"/>
    </xf>
    <xf numFmtId="0" fontId="2" fillId="0" borderId="3" xfId="0" applyFont="1" applyBorder="1" applyAlignment="1">
      <alignment vertical="top" wrapText="1"/>
    </xf>
    <xf numFmtId="166" fontId="44" fillId="2" borderId="9" xfId="0" applyNumberFormat="1" applyFont="1" applyFill="1" applyBorder="1" applyAlignment="1">
      <alignment horizontal="right"/>
    </xf>
    <xf numFmtId="44" fontId="44" fillId="5" borderId="9" xfId="0" applyNumberFormat="1" applyFont="1" applyFill="1" applyBorder="1" applyAlignment="1">
      <alignment horizontal="center"/>
    </xf>
    <xf numFmtId="0" fontId="17" fillId="2" borderId="60" xfId="0" applyFont="1" applyFill="1" applyBorder="1" applyAlignment="1">
      <alignment vertical="top"/>
    </xf>
    <xf numFmtId="165" fontId="11" fillId="3" borderId="6" xfId="0" applyNumberFormat="1" applyFont="1" applyFill="1" applyBorder="1" applyAlignment="1">
      <alignment horizontal="center"/>
    </xf>
    <xf numFmtId="0" fontId="3" fillId="2" borderId="16" xfId="0" applyFont="1" applyFill="1" applyBorder="1" applyAlignment="1">
      <alignment horizontal="left" vertical="center"/>
    </xf>
    <xf numFmtId="0" fontId="11" fillId="3" borderId="23" xfId="0" applyFont="1" applyFill="1" applyBorder="1"/>
    <xf numFmtId="0" fontId="46" fillId="2" borderId="21" xfId="0" applyFont="1" applyFill="1" applyBorder="1" applyAlignment="1">
      <alignment horizontal="left" vertical="top"/>
    </xf>
    <xf numFmtId="0" fontId="2" fillId="2" borderId="15" xfId="0" applyFont="1" applyFill="1" applyBorder="1" applyAlignment="1">
      <alignment vertical="top"/>
    </xf>
    <xf numFmtId="44" fontId="11" fillId="3" borderId="36" xfId="0" applyNumberFormat="1" applyFont="1" applyFill="1" applyBorder="1"/>
    <xf numFmtId="166" fontId="29" fillId="2" borderId="9" xfId="0" applyNumberFormat="1" applyFont="1" applyFill="1" applyBorder="1" applyAlignment="1">
      <alignment horizontal="center" vertical="center"/>
    </xf>
    <xf numFmtId="3" fontId="28" fillId="0" borderId="9" xfId="0" applyNumberFormat="1" applyFont="1" applyBorder="1" applyAlignment="1">
      <alignment vertical="center"/>
    </xf>
    <xf numFmtId="0" fontId="25" fillId="2" borderId="9" xfId="0" applyFont="1" applyFill="1" applyBorder="1" applyAlignment="1">
      <alignment horizontal="center"/>
    </xf>
    <xf numFmtId="3" fontId="4" fillId="0" borderId="9" xfId="0" applyNumberFormat="1" applyFont="1" applyBorder="1" applyAlignment="1"/>
    <xf numFmtId="0" fontId="0" fillId="2" borderId="36" xfId="0" applyFont="1" applyFill="1" applyBorder="1" applyAlignment="1">
      <alignment horizontal="center"/>
    </xf>
    <xf numFmtId="0" fontId="52" fillId="0" borderId="0" xfId="0" applyFont="1" applyAlignment="1"/>
    <xf numFmtId="0" fontId="0" fillId="4" borderId="36" xfId="0" applyFont="1" applyFill="1" applyBorder="1" applyAlignment="1">
      <alignment horizontal="center"/>
    </xf>
    <xf numFmtId="0" fontId="1" fillId="0" borderId="0" xfId="0" applyFont="1" applyAlignment="1">
      <alignment horizontal="center"/>
    </xf>
    <xf numFmtId="0" fontId="0" fillId="0" borderId="0" xfId="0" applyFont="1" applyAlignment="1"/>
    <xf numFmtId="0" fontId="5" fillId="0" borderId="0" xfId="0" applyFont="1" applyAlignment="1">
      <alignment horizontal="center"/>
    </xf>
    <xf numFmtId="0" fontId="5" fillId="0" borderId="0" xfId="0" applyFont="1" applyAlignment="1">
      <alignment horizontal="center" wrapText="1"/>
    </xf>
    <xf numFmtId="0" fontId="6" fillId="2" borderId="0" xfId="0" applyFont="1" applyFill="1" applyAlignment="1">
      <alignment horizontal="center"/>
    </xf>
    <xf numFmtId="0" fontId="8" fillId="0" borderId="2" xfId="0" applyFont="1" applyBorder="1"/>
    <xf numFmtId="0" fontId="7" fillId="0" borderId="2" xfId="0" applyFont="1" applyBorder="1" applyAlignment="1">
      <alignment horizontal="right"/>
    </xf>
    <xf numFmtId="0" fontId="12" fillId="6" borderId="12" xfId="0" applyFont="1" applyFill="1" applyBorder="1" applyAlignment="1">
      <alignment horizontal="left" vertical="center"/>
    </xf>
    <xf numFmtId="0" fontId="8" fillId="0" borderId="13" xfId="0" applyFont="1" applyBorder="1"/>
    <xf numFmtId="0" fontId="8" fillId="0" borderId="14" xfId="0" applyFont="1" applyBorder="1"/>
    <xf numFmtId="0" fontId="2" fillId="0" borderId="16" xfId="0" applyFont="1" applyBorder="1" applyAlignment="1">
      <alignment vertical="top" wrapText="1"/>
    </xf>
    <xf numFmtId="0" fontId="8" fillId="0" borderId="21" xfId="0" applyFont="1" applyBorder="1"/>
    <xf numFmtId="0" fontId="2" fillId="0" borderId="6" xfId="0" applyFont="1" applyBorder="1" applyAlignment="1">
      <alignment vertical="top" wrapText="1"/>
    </xf>
    <xf numFmtId="0" fontId="8" fillId="0" borderId="3" xfId="0" applyFont="1" applyBorder="1"/>
    <xf numFmtId="8" fontId="27" fillId="2" borderId="50" xfId="0" applyNumberFormat="1" applyFont="1" applyFill="1" applyBorder="1" applyAlignment="1">
      <alignment vertical="center"/>
    </xf>
    <xf numFmtId="0" fontId="8" fillId="0" borderId="49" xfId="0" applyFont="1" applyBorder="1"/>
    <xf numFmtId="0" fontId="8" fillId="0" borderId="51" xfId="0" applyFont="1" applyBorder="1"/>
    <xf numFmtId="0" fontId="12" fillId="6" borderId="17" xfId="0" applyFont="1" applyFill="1" applyBorder="1" applyAlignment="1">
      <alignment horizontal="left" vertical="center"/>
    </xf>
    <xf numFmtId="0" fontId="8" fillId="0" borderId="30" xfId="0" applyFont="1" applyBorder="1"/>
    <xf numFmtId="0" fontId="8" fillId="0" borderId="29" xfId="0" applyFont="1" applyBorder="1"/>
    <xf numFmtId="0" fontId="27" fillId="0" borderId="48" xfId="0" applyFont="1" applyBorder="1" applyAlignment="1">
      <alignment horizontal="right" vertical="center"/>
    </xf>
    <xf numFmtId="0" fontId="32" fillId="0" borderId="56" xfId="0" applyFont="1" applyBorder="1" applyAlignment="1">
      <alignment horizontal="center" wrapText="1"/>
    </xf>
    <xf numFmtId="0" fontId="8" fillId="0" borderId="57" xfId="0" applyFont="1" applyBorder="1"/>
    <xf numFmtId="0" fontId="27" fillId="0" borderId="17" xfId="0" applyFont="1" applyBorder="1" applyAlignment="1">
      <alignment horizontal="right" vertical="center"/>
    </xf>
    <xf numFmtId="8" fontId="27" fillId="2" borderId="61" xfId="0" applyNumberFormat="1" applyFont="1" applyFill="1" applyBorder="1" applyAlignment="1">
      <alignment vertical="center"/>
    </xf>
    <xf numFmtId="0" fontId="12" fillId="6" borderId="17" xfId="0" applyFont="1" applyFill="1" applyBorder="1" applyAlignment="1">
      <alignment vertical="center"/>
    </xf>
    <xf numFmtId="0" fontId="27" fillId="0" borderId="70" xfId="0" applyFont="1" applyBorder="1" applyAlignment="1">
      <alignment horizontal="right" vertical="center"/>
    </xf>
    <xf numFmtId="0" fontId="8" fillId="0" borderId="71" xfId="0" applyFont="1" applyBorder="1"/>
    <xf numFmtId="0" fontId="27" fillId="0" borderId="12" xfId="0" applyFont="1" applyBorder="1" applyAlignment="1">
      <alignment horizontal="right" vertical="center"/>
    </xf>
    <xf numFmtId="167" fontId="27" fillId="2" borderId="13" xfId="0" applyNumberFormat="1" applyFont="1" applyFill="1" applyBorder="1" applyAlignment="1">
      <alignment vertical="center"/>
    </xf>
    <xf numFmtId="0" fontId="38" fillId="2" borderId="13" xfId="0" applyFont="1" applyFill="1" applyBorder="1" applyAlignment="1">
      <alignment vertical="top" wrapText="1"/>
    </xf>
    <xf numFmtId="0" fontId="5" fillId="0" borderId="17" xfId="0" applyFont="1" applyBorder="1" applyAlignment="1">
      <alignment horizontal="center" vertical="center"/>
    </xf>
    <xf numFmtId="8" fontId="27" fillId="2" borderId="72" xfId="0" applyNumberFormat="1" applyFont="1" applyFill="1" applyBorder="1" applyAlignment="1">
      <alignment vertical="center"/>
    </xf>
    <xf numFmtId="0" fontId="8" fillId="0" borderId="73" xfId="0" applyFont="1" applyBorder="1"/>
    <xf numFmtId="0" fontId="38" fillId="2" borderId="12" xfId="0" applyFont="1" applyFill="1" applyBorder="1" applyAlignment="1">
      <alignment vertical="top" wrapText="1"/>
    </xf>
    <xf numFmtId="0" fontId="8" fillId="0" borderId="68" xfId="0" applyFont="1" applyBorder="1"/>
    <xf numFmtId="0" fontId="11" fillId="0" borderId="16" xfId="0" applyFont="1" applyBorder="1" applyAlignment="1">
      <alignment wrapText="1"/>
    </xf>
    <xf numFmtId="0" fontId="17" fillId="2" borderId="16" xfId="0" applyFont="1" applyFill="1" applyBorder="1" applyAlignment="1">
      <alignment horizontal="left" vertical="top" wrapText="1"/>
    </xf>
    <xf numFmtId="0" fontId="2" fillId="0" borderId="63" xfId="0" applyFont="1" applyBorder="1" applyAlignment="1">
      <alignment vertical="top" wrapText="1"/>
    </xf>
    <xf numFmtId="0" fontId="8" fillId="0" borderId="66" xfId="0" applyFont="1" applyBorder="1"/>
    <xf numFmtId="0" fontId="2" fillId="0" borderId="4" xfId="0" applyFont="1" applyBorder="1" applyAlignment="1">
      <alignment vertical="center" wrapText="1"/>
    </xf>
    <xf numFmtId="0" fontId="8" fillId="0" borderId="4" xfId="0" applyFont="1" applyBorder="1"/>
    <xf numFmtId="0" fontId="12" fillId="6" borderId="12" xfId="0" applyFont="1" applyFill="1" applyBorder="1" applyAlignment="1">
      <alignment vertical="center"/>
    </xf>
    <xf numFmtId="167" fontId="49" fillId="2" borderId="12" xfId="0" applyNumberFormat="1" applyFont="1" applyFill="1" applyBorder="1"/>
    <xf numFmtId="3" fontId="53" fillId="2" borderId="12" xfId="0" applyNumberFormat="1" applyFont="1" applyFill="1" applyBorder="1" applyAlignment="1">
      <alignment horizontal="center"/>
    </xf>
    <xf numFmtId="167" fontId="27" fillId="2" borderId="12" xfId="0" applyNumberFormat="1" applyFont="1" applyFill="1" applyBorder="1"/>
    <xf numFmtId="3" fontId="7" fillId="0" borderId="12" xfId="0" applyNumberFormat="1" applyFont="1" applyBorder="1" applyAlignment="1">
      <alignment horizontal="center"/>
    </xf>
    <xf numFmtId="0" fontId="2" fillId="0" borderId="29" xfId="0" applyFont="1" applyBorder="1" applyAlignment="1">
      <alignment vertical="top" wrapText="1"/>
    </xf>
    <xf numFmtId="3" fontId="7" fillId="2" borderId="12" xfId="0" applyNumberFormat="1" applyFont="1" applyFill="1" applyBorder="1" applyAlignment="1">
      <alignment horizontal="center"/>
    </xf>
    <xf numFmtId="0" fontId="8" fillId="0" borderId="76" xfId="0" applyFont="1" applyBorder="1"/>
    <xf numFmtId="0" fontId="54" fillId="0" borderId="76" xfId="0" applyFont="1" applyBorder="1" applyAlignment="1">
      <alignment horizontal="right"/>
    </xf>
    <xf numFmtId="0" fontId="54" fillId="0" borderId="42" xfId="0" applyFont="1" applyBorder="1" applyAlignment="1">
      <alignment horizontal="right"/>
    </xf>
    <xf numFmtId="0" fontId="27" fillId="0" borderId="78" xfId="0" applyFont="1" applyBorder="1" applyAlignment="1">
      <alignment horizontal="right" vertical="center"/>
    </xf>
    <xf numFmtId="0" fontId="8" fillId="0" borderId="79" xfId="0" applyFont="1" applyBorder="1"/>
    <xf numFmtId="0" fontId="8" fillId="0" borderId="80" xfId="0" applyFont="1" applyBorder="1"/>
    <xf numFmtId="0" fontId="27" fillId="0" borderId="81" xfId="0" applyFont="1" applyBorder="1" applyAlignment="1">
      <alignment horizontal="right" vertical="center"/>
    </xf>
    <xf numFmtId="44" fontId="27" fillId="2" borderId="82" xfId="0" applyNumberFormat="1" applyFont="1" applyFill="1" applyBorder="1" applyAlignment="1">
      <alignment vertical="center"/>
    </xf>
    <xf numFmtId="0" fontId="8" fillId="0" borderId="83" xfId="0" applyFont="1" applyBorder="1"/>
    <xf numFmtId="0" fontId="11" fillId="0" borderId="76" xfId="0" applyFont="1" applyBorder="1"/>
    <xf numFmtId="0" fontId="11" fillId="0" borderId="76" xfId="0" applyFont="1" applyBorder="1" applyAlignment="1"/>
    <xf numFmtId="0" fontId="49" fillId="0" borderId="76" xfId="0" applyFont="1" applyBorder="1"/>
    <xf numFmtId="0" fontId="55" fillId="0" borderId="76" xfId="0" applyFont="1" applyBorder="1"/>
    <xf numFmtId="0" fontId="56" fillId="0" borderId="76" xfId="0" applyFont="1" applyBorder="1" applyAlignment="1">
      <alignment horizontal="left"/>
    </xf>
    <xf numFmtId="0" fontId="56" fillId="0" borderId="76" xfId="0" applyFont="1" applyBorder="1" applyAlignment="1">
      <alignment vertical="center"/>
    </xf>
    <xf numFmtId="0" fontId="52" fillId="0" borderId="76" xfId="0" applyFont="1" applyBorder="1" applyAlignment="1">
      <alignment vertical="center"/>
    </xf>
    <xf numFmtId="0" fontId="57" fillId="0" borderId="76" xfId="0" applyFont="1" applyBorder="1" applyAlignment="1">
      <alignment horizontal="right" vertical="center" wrapText="1"/>
    </xf>
    <xf numFmtId="0" fontId="27" fillId="0" borderId="76" xfId="0" applyFont="1" applyBorder="1" applyAlignment="1">
      <alignment horizontal="right" vertical="center" wrapText="1"/>
    </xf>
    <xf numFmtId="0" fontId="0" fillId="0" borderId="76" xfId="0" applyFont="1" applyBorder="1" applyAlignment="1"/>
    <xf numFmtId="44" fontId="15" fillId="0" borderId="76" xfId="0" applyNumberFormat="1" applyFont="1" applyBorder="1" applyAlignment="1">
      <alignment horizontal="center"/>
    </xf>
    <xf numFmtId="3" fontId="15" fillId="0" borderId="47" xfId="0" applyNumberFormat="1" applyFont="1" applyBorder="1" applyAlignment="1">
      <alignment horizontal="center"/>
    </xf>
    <xf numFmtId="3" fontId="38" fillId="0" borderId="14" xfId="0" applyNumberFormat="1" applyFont="1" applyBorder="1" applyAlignment="1">
      <alignment horizontal="center"/>
    </xf>
    <xf numFmtId="3" fontId="15" fillId="0" borderId="14" xfId="0" applyNumberFormat="1" applyFont="1" applyBorder="1" applyAlignment="1">
      <alignment horizontal="center"/>
    </xf>
    <xf numFmtId="44" fontId="15" fillId="0" borderId="76" xfId="0" applyNumberFormat="1" applyFont="1" applyBorder="1" applyAlignment="1">
      <alignment horizontal="left"/>
    </xf>
    <xf numFmtId="44" fontId="15" fillId="0" borderId="76" xfId="0" applyNumberFormat="1" applyFont="1" applyBorder="1"/>
    <xf numFmtId="0" fontId="47" fillId="0" borderId="49" xfId="0" applyFont="1" applyBorder="1" applyAlignment="1">
      <alignment horizontal="center"/>
    </xf>
    <xf numFmtId="0" fontId="1" fillId="0" borderId="76" xfId="0" applyFont="1" applyBorder="1" applyAlignment="1">
      <alignment horizontal="right"/>
    </xf>
    <xf numFmtId="0" fontId="0" fillId="0" borderId="76" xfId="0" applyFont="1" applyBorder="1" applyAlignment="1"/>
    <xf numFmtId="0" fontId="48" fillId="4" borderId="76" xfId="0" applyFont="1" applyFill="1" applyBorder="1" applyAlignment="1">
      <alignment horizontal="center"/>
    </xf>
    <xf numFmtId="44" fontId="5" fillId="2" borderId="76" xfId="0" applyNumberFormat="1" applyFont="1" applyFill="1" applyBorder="1" applyAlignment="1">
      <alignment horizontal="center"/>
    </xf>
    <xf numFmtId="0" fontId="5" fillId="2" borderId="76" xfId="0" applyFont="1" applyFill="1" applyBorder="1" applyAlignment="1">
      <alignment horizontal="center"/>
    </xf>
    <xf numFmtId="0" fontId="49" fillId="0" borderId="76" xfId="0" applyFont="1" applyBorder="1" applyAlignment="1">
      <alignment vertical="top" wrapText="1"/>
    </xf>
    <xf numFmtId="0" fontId="22" fillId="0" borderId="76" xfId="0" applyFont="1" applyBorder="1" applyAlignment="1">
      <alignment horizontal="left"/>
    </xf>
    <xf numFmtId="164" fontId="30" fillId="2" borderId="76" xfId="0" applyNumberFormat="1" applyFont="1" applyFill="1" applyBorder="1" applyAlignment="1">
      <alignment horizontal="left" vertical="top"/>
    </xf>
    <xf numFmtId="164" fontId="14" fillId="0" borderId="76" xfId="0" applyNumberFormat="1" applyFont="1" applyBorder="1" applyAlignment="1">
      <alignment horizontal="center"/>
    </xf>
    <xf numFmtId="0" fontId="15" fillId="2" borderId="76" xfId="0" applyFont="1" applyFill="1" applyBorder="1" applyAlignment="1">
      <alignment horizontal="center"/>
    </xf>
    <xf numFmtId="0" fontId="31" fillId="0" borderId="76" xfId="0" applyFont="1" applyBorder="1" applyAlignment="1">
      <alignment vertical="top"/>
    </xf>
    <xf numFmtId="3" fontId="49" fillId="0" borderId="76" xfId="0" applyNumberFormat="1" applyFont="1" applyBorder="1" applyAlignment="1">
      <alignment wrapText="1"/>
    </xf>
    <xf numFmtId="4" fontId="49" fillId="0" borderId="76" xfId="0" applyNumberFormat="1" applyFont="1" applyBorder="1" applyAlignment="1">
      <alignment horizontal="center"/>
    </xf>
    <xf numFmtId="4" fontId="49" fillId="4" borderId="76" xfId="0" applyNumberFormat="1" applyFont="1" applyFill="1" applyBorder="1" applyAlignment="1">
      <alignment horizontal="center"/>
    </xf>
    <xf numFmtId="0" fontId="50" fillId="0" borderId="76" xfId="0" applyFont="1" applyBorder="1" applyAlignment="1">
      <alignment horizontal="right" wrapText="1"/>
    </xf>
    <xf numFmtId="0" fontId="7" fillId="2" borderId="47" xfId="0" applyFont="1" applyFill="1" applyBorder="1" applyAlignment="1">
      <alignment horizontal="center" wrapText="1"/>
    </xf>
    <xf numFmtId="0" fontId="8" fillId="0" borderId="47" xfId="0" applyFont="1" applyBorder="1"/>
    <xf numFmtId="0" fontId="7" fillId="0" borderId="47" xfId="0" applyFont="1" applyBorder="1" applyAlignment="1">
      <alignment horizontal="center" wrapText="1"/>
    </xf>
    <xf numFmtId="0" fontId="0" fillId="4" borderId="76" xfId="0" applyFont="1" applyFill="1" applyBorder="1" applyAlignment="1">
      <alignment wrapText="1"/>
    </xf>
    <xf numFmtId="3" fontId="5" fillId="2" borderId="47" xfId="0" applyNumberFormat="1" applyFont="1" applyFill="1" applyBorder="1" applyAlignment="1">
      <alignment horizontal="center" wrapText="1"/>
    </xf>
    <xf numFmtId="0" fontId="50" fillId="0" borderId="76" xfId="0" applyFont="1" applyBorder="1" applyAlignment="1">
      <alignment horizontal="right"/>
    </xf>
    <xf numFmtId="10" fontId="51" fillId="0" borderId="76" xfId="0" applyNumberFormat="1" applyFont="1" applyBorder="1" applyAlignment="1"/>
    <xf numFmtId="166" fontId="51" fillId="0" borderId="76" xfId="0" applyNumberFormat="1" applyFont="1" applyBorder="1" applyAlignment="1"/>
    <xf numFmtId="10" fontId="49" fillId="0" borderId="76" xfId="0" applyNumberFormat="1" applyFont="1" applyBorder="1"/>
    <xf numFmtId="0" fontId="27" fillId="0" borderId="76" xfId="0" applyFont="1" applyBorder="1" applyAlignment="1">
      <alignment horizontal="right" wrapText="1"/>
    </xf>
    <xf numFmtId="0" fontId="7" fillId="0" borderId="76" xfId="0" applyFont="1" applyBorder="1" applyAlignment="1">
      <alignment wrapText="1"/>
    </xf>
    <xf numFmtId="0" fontId="27" fillId="0" borderId="76" xfId="0" applyFont="1" applyBorder="1" applyAlignment="1">
      <alignment horizontal="left" wrapText="1"/>
    </xf>
    <xf numFmtId="0" fontId="57" fillId="0" borderId="76" xfId="0" applyFont="1" applyBorder="1" applyAlignment="1">
      <alignment horizontal="right" vertical="center" wrapText="1"/>
    </xf>
    <xf numFmtId="0" fontId="57" fillId="2" borderId="76" xfId="0" applyFont="1" applyFill="1" applyBorder="1" applyAlignment="1">
      <alignment horizontal="right" vertical="center"/>
    </xf>
    <xf numFmtId="0" fontId="27" fillId="0" borderId="76" xfId="0" applyFont="1" applyBorder="1" applyAlignment="1">
      <alignment horizontal="right" vertical="center" wrapText="1"/>
    </xf>
    <xf numFmtId="0" fontId="59" fillId="0" borderId="6" xfId="0" applyFont="1" applyBorder="1"/>
    <xf numFmtId="0" fontId="59" fillId="0" borderId="6" xfId="0" applyFont="1" applyBorder="1" applyAlignment="1">
      <alignment horizontal="left"/>
    </xf>
    <xf numFmtId="0" fontId="59" fillId="0" borderId="36" xfId="0" applyFont="1" applyBorder="1"/>
    <xf numFmtId="0" fontId="59" fillId="0" borderId="16" xfId="0" applyFont="1" applyBorder="1" applyAlignment="1">
      <alignment horizontal="left"/>
    </xf>
    <xf numFmtId="0" fontId="60" fillId="2" borderId="16" xfId="0" applyFont="1" applyFill="1" applyBorder="1" applyAlignment="1">
      <alignment horizontal="left" vertical="top"/>
    </xf>
    <xf numFmtId="0" fontId="59" fillId="0" borderId="16" xfId="0" applyFont="1" applyBorder="1"/>
    <xf numFmtId="0" fontId="59" fillId="0" borderId="21" xfId="0" applyFont="1" applyBorder="1" applyAlignment="1">
      <alignment horizontal="left"/>
    </xf>
    <xf numFmtId="0" fontId="2" fillId="0" borderId="16" xfId="0" applyFont="1" applyBorder="1" applyAlignment="1" applyProtection="1">
      <alignment vertical="top" wrapText="1"/>
    </xf>
    <xf numFmtId="0" fontId="11" fillId="0" borderId="17" xfId="0" applyFont="1" applyBorder="1" applyProtection="1"/>
    <xf numFmtId="0" fontId="3" fillId="2" borderId="16" xfId="0" applyFont="1" applyFill="1" applyBorder="1" applyAlignment="1" applyProtection="1">
      <alignment horizontal="left" vertical="top" wrapText="1"/>
    </xf>
    <xf numFmtId="0" fontId="8" fillId="0" borderId="21" xfId="0" applyFont="1" applyBorder="1" applyProtection="1"/>
    <xf numFmtId="0" fontId="2" fillId="0" borderId="22" xfId="0" applyFont="1" applyBorder="1" applyAlignment="1" applyProtection="1">
      <alignment horizontal="left"/>
    </xf>
    <xf numFmtId="0" fontId="3" fillId="2" borderId="6" xfId="0" applyFont="1" applyFill="1" applyBorder="1" applyAlignment="1" applyProtection="1">
      <alignment horizontal="left" vertical="top" wrapText="1"/>
    </xf>
    <xf numFmtId="0" fontId="2" fillId="0" borderId="16" xfId="0" applyFont="1" applyBorder="1" applyAlignment="1" applyProtection="1">
      <alignment vertical="top" wrapText="1"/>
    </xf>
    <xf numFmtId="0" fontId="3" fillId="2" borderId="16" xfId="0" applyFont="1" applyFill="1" applyBorder="1" applyAlignment="1" applyProtection="1">
      <alignment horizontal="left" vertical="top"/>
    </xf>
    <xf numFmtId="0" fontId="11" fillId="0" borderId="21" xfId="0" applyFont="1" applyBorder="1" applyAlignment="1" applyProtection="1">
      <alignment vertical="top" wrapText="1"/>
    </xf>
    <xf numFmtId="0" fontId="2" fillId="0" borderId="22" xfId="0" applyFont="1" applyBorder="1" applyAlignment="1" applyProtection="1"/>
    <xf numFmtId="0" fontId="3" fillId="2" borderId="21" xfId="0" applyFont="1" applyFill="1" applyBorder="1" applyAlignment="1" applyProtection="1">
      <alignment horizontal="left" vertical="top"/>
    </xf>
    <xf numFmtId="0" fontId="2" fillId="0" borderId="6" xfId="0" applyFont="1" applyBorder="1" applyAlignment="1" applyProtection="1">
      <alignment vertical="top" wrapText="1"/>
    </xf>
    <xf numFmtId="0" fontId="11" fillId="0" borderId="4" xfId="0" applyFont="1" applyBorder="1" applyAlignment="1" applyProtection="1"/>
    <xf numFmtId="0" fontId="3" fillId="2" borderId="6" xfId="0" applyFont="1" applyFill="1" applyBorder="1" applyAlignment="1" applyProtection="1">
      <alignment horizontal="left" vertical="top"/>
    </xf>
    <xf numFmtId="0" fontId="8" fillId="0" borderId="6" xfId="0" applyFont="1" applyBorder="1" applyProtection="1"/>
    <xf numFmtId="0" fontId="2" fillId="0" borderId="4" xfId="0" applyFont="1" applyBorder="1" applyAlignment="1" applyProtection="1"/>
    <xf numFmtId="0" fontId="11" fillId="0" borderId="30" xfId="0" applyFont="1" applyBorder="1" applyAlignment="1" applyProtection="1">
      <alignment wrapText="1"/>
    </xf>
    <xf numFmtId="0" fontId="2" fillId="0" borderId="6" xfId="0" applyFont="1" applyBorder="1" applyAlignment="1" applyProtection="1">
      <alignment vertical="top" wrapText="1"/>
    </xf>
    <xf numFmtId="0" fontId="2" fillId="0" borderId="6" xfId="0" applyFont="1" applyBorder="1" applyAlignment="1" applyProtection="1"/>
    <xf numFmtId="0" fontId="17" fillId="0" borderId="30" xfId="0" applyFont="1" applyBorder="1" applyAlignment="1" applyProtection="1">
      <alignment horizontal="center" wrapText="1"/>
    </xf>
    <xf numFmtId="0" fontId="3" fillId="2" borderId="17" xfId="0" applyFont="1" applyFill="1" applyBorder="1" applyAlignment="1" applyProtection="1">
      <alignment horizontal="left" vertical="top"/>
    </xf>
    <xf numFmtId="0" fontId="3" fillId="2" borderId="4" xfId="0" applyFont="1" applyFill="1" applyBorder="1" applyAlignment="1" applyProtection="1">
      <alignment horizontal="left" vertical="top"/>
    </xf>
    <xf numFmtId="0" fontId="11" fillId="0" borderId="16" xfId="0" applyFont="1" applyBorder="1" applyProtection="1"/>
    <xf numFmtId="0" fontId="3" fillId="2" borderId="17" xfId="0" applyFont="1" applyFill="1" applyBorder="1" applyAlignment="1" applyProtection="1">
      <alignment horizontal="left"/>
    </xf>
    <xf numFmtId="0" fontId="2" fillId="0" borderId="21" xfId="0" applyFont="1" applyBorder="1" applyAlignment="1" applyProtection="1"/>
    <xf numFmtId="0" fontId="11" fillId="0" borderId="16" xfId="0" applyFont="1" applyBorder="1" applyAlignment="1" applyProtection="1"/>
    <xf numFmtId="0" fontId="2" fillId="0" borderId="21" xfId="0" applyFont="1" applyBorder="1" applyAlignment="1" applyProtection="1">
      <alignment horizontal="left"/>
    </xf>
    <xf numFmtId="0" fontId="3" fillId="2" borderId="22" xfId="0" applyFont="1" applyFill="1" applyBorder="1" applyAlignment="1" applyProtection="1">
      <alignment horizontal="left" vertical="top"/>
    </xf>
    <xf numFmtId="0" fontId="11" fillId="0" borderId="6" xfId="0" applyFont="1" applyBorder="1" applyAlignment="1" applyProtection="1"/>
    <xf numFmtId="0" fontId="3" fillId="2" borderId="4" xfId="0" applyFont="1" applyFill="1" applyBorder="1" applyAlignment="1" applyProtection="1">
      <alignment horizontal="left"/>
    </xf>
    <xf numFmtId="0" fontId="11" fillId="0" borderId="16" xfId="0" applyFont="1" applyBorder="1" applyAlignment="1" applyProtection="1">
      <alignment horizontal="left"/>
    </xf>
    <xf numFmtId="0" fontId="11" fillId="0" borderId="6" xfId="0" applyFont="1" applyBorder="1" applyAlignment="1" applyProtection="1">
      <alignment vertical="top" wrapText="1"/>
    </xf>
    <xf numFmtId="0" fontId="2" fillId="0" borderId="6" xfId="0" applyFont="1" applyBorder="1" applyAlignment="1" applyProtection="1">
      <alignment horizontal="left"/>
    </xf>
    <xf numFmtId="0" fontId="2" fillId="0" borderId="16" xfId="0" applyFont="1" applyBorder="1" applyAlignment="1" applyProtection="1">
      <alignment horizontal="left"/>
    </xf>
    <xf numFmtId="0" fontId="2" fillId="0" borderId="21" xfId="0" applyFont="1" applyBorder="1" applyAlignment="1" applyProtection="1">
      <alignment vertical="top" wrapText="1"/>
    </xf>
    <xf numFmtId="0" fontId="3" fillId="2" borderId="2" xfId="0" applyFont="1" applyFill="1" applyBorder="1" applyAlignment="1" applyProtection="1">
      <alignment horizontal="left"/>
    </xf>
    <xf numFmtId="0" fontId="2" fillId="0" borderId="36" xfId="0" applyFont="1" applyBorder="1" applyAlignment="1" applyProtection="1">
      <alignment vertical="top" wrapText="1"/>
    </xf>
    <xf numFmtId="0" fontId="11" fillId="0" borderId="36" xfId="0" applyFont="1" applyBorder="1" applyAlignment="1" applyProtection="1">
      <alignment horizontal="left"/>
    </xf>
    <xf numFmtId="0" fontId="3" fillId="0" borderId="13" xfId="0" applyFont="1" applyBorder="1" applyAlignment="1" applyProtection="1">
      <alignment horizontal="left"/>
    </xf>
    <xf numFmtId="0" fontId="11" fillId="0" borderId="6" xfId="0" applyFont="1" applyBorder="1" applyAlignment="1" applyProtection="1">
      <alignment horizontal="left"/>
    </xf>
    <xf numFmtId="0" fontId="3" fillId="0" borderId="0" xfId="0" applyFont="1" applyAlignment="1" applyProtection="1">
      <alignment horizontal="left"/>
    </xf>
    <xf numFmtId="0" fontId="3" fillId="2" borderId="0" xfId="0" applyFont="1" applyFill="1" applyAlignment="1" applyProtection="1">
      <alignment horizontal="left"/>
    </xf>
    <xf numFmtId="0" fontId="11" fillId="0" borderId="21" xfId="0" applyFont="1" applyBorder="1" applyAlignment="1" applyProtection="1">
      <alignment horizontal="left"/>
    </xf>
    <xf numFmtId="0" fontId="11" fillId="0" borderId="4" xfId="0" applyFont="1" applyBorder="1" applyAlignment="1" applyProtection="1">
      <alignment horizontal="left"/>
    </xf>
    <xf numFmtId="0" fontId="3" fillId="2" borderId="16" xfId="0" applyFont="1" applyFill="1" applyBorder="1" applyAlignment="1" applyProtection="1">
      <alignment horizontal="left"/>
    </xf>
    <xf numFmtId="0" fontId="11" fillId="0" borderId="16" xfId="0" applyFont="1" applyBorder="1" applyAlignment="1" applyProtection="1">
      <alignment horizontal="left" vertical="top"/>
    </xf>
    <xf numFmtId="0" fontId="14" fillId="0" borderId="6" xfId="0" applyFont="1" applyBorder="1" applyAlignment="1" applyProtection="1">
      <alignment vertical="top" wrapText="1"/>
    </xf>
    <xf numFmtId="0" fontId="14" fillId="0" borderId="6" xfId="0" applyFont="1" applyBorder="1" applyAlignment="1" applyProtection="1">
      <alignment horizontal="left"/>
    </xf>
    <xf numFmtId="0" fontId="3" fillId="2" borderId="36" xfId="0" applyFont="1" applyFill="1" applyBorder="1" applyAlignment="1" applyProtection="1">
      <alignment horizontal="left"/>
    </xf>
    <xf numFmtId="0" fontId="3" fillId="0" borderId="36" xfId="0" applyFont="1" applyBorder="1" applyAlignment="1" applyProtection="1">
      <alignment vertical="top" wrapText="1"/>
    </xf>
    <xf numFmtId="0" fontId="3" fillId="0" borderId="36" xfId="0" applyFont="1" applyBorder="1" applyAlignment="1" applyProtection="1">
      <alignment horizontal="left"/>
    </xf>
    <xf numFmtId="0" fontId="3" fillId="0" borderId="9" xfId="0" applyFont="1" applyBorder="1" applyAlignment="1" applyProtection="1">
      <alignment vertical="top" wrapText="1"/>
    </xf>
    <xf numFmtId="0" fontId="11" fillId="0" borderId="17" xfId="0" applyFont="1" applyBorder="1" applyAlignment="1" applyProtection="1">
      <alignment horizontal="left"/>
    </xf>
    <xf numFmtId="0" fontId="3" fillId="2" borderId="16" xfId="0" applyFont="1" applyFill="1" applyBorder="1" applyAlignment="1" applyProtection="1">
      <alignment horizontal="left" vertical="top" wrapText="1"/>
    </xf>
    <xf numFmtId="0" fontId="11" fillId="0" borderId="22" xfId="0" applyFont="1" applyBorder="1" applyAlignment="1" applyProtection="1">
      <alignment horizontal="left"/>
    </xf>
    <xf numFmtId="0" fontId="11" fillId="0" borderId="6" xfId="0" applyFont="1" applyBorder="1" applyAlignment="1" applyProtection="1">
      <alignment vertical="center"/>
    </xf>
    <xf numFmtId="0" fontId="3" fillId="2" borderId="30" xfId="0" applyFont="1" applyFill="1" applyBorder="1" applyAlignment="1" applyProtection="1">
      <alignment horizontal="left"/>
    </xf>
    <xf numFmtId="0" fontId="3" fillId="2" borderId="21" xfId="0" applyFont="1" applyFill="1" applyBorder="1" applyAlignment="1" applyProtection="1">
      <alignment horizontal="left" vertical="center"/>
    </xf>
    <xf numFmtId="0" fontId="3" fillId="0" borderId="16" xfId="0" applyFont="1" applyBorder="1" applyAlignment="1" applyProtection="1">
      <alignment horizontal="left"/>
    </xf>
    <xf numFmtId="0" fontId="3" fillId="2" borderId="22" xfId="0" applyFont="1" applyFill="1" applyBorder="1" applyAlignment="1" applyProtection="1">
      <alignment horizontal="left"/>
    </xf>
    <xf numFmtId="0" fontId="2" fillId="0" borderId="6" xfId="0" applyFont="1" applyBorder="1" applyAlignment="1" applyProtection="1">
      <alignment horizontal="right"/>
    </xf>
    <xf numFmtId="0" fontId="3" fillId="2" borderId="4" xfId="0" applyFont="1" applyFill="1" applyBorder="1" applyAlignment="1" applyProtection="1">
      <alignment horizontal="left" vertical="top" wrapText="1"/>
    </xf>
    <xf numFmtId="0" fontId="3" fillId="2" borderId="21" xfId="0" applyFont="1" applyFill="1" applyBorder="1" applyAlignment="1" applyProtection="1">
      <alignment horizontal="left"/>
    </xf>
    <xf numFmtId="0" fontId="20" fillId="0" borderId="0" xfId="0" applyFont="1" applyAlignment="1" applyProtection="1"/>
    <xf numFmtId="0" fontId="3" fillId="2" borderId="6" xfId="0" applyFont="1" applyFill="1" applyBorder="1" applyAlignment="1" applyProtection="1">
      <alignment horizontal="left"/>
    </xf>
    <xf numFmtId="0" fontId="11" fillId="0" borderId="4" xfId="0" applyFont="1" applyBorder="1" applyProtection="1"/>
    <xf numFmtId="0" fontId="2" fillId="0" borderId="36" xfId="0" applyFont="1" applyBorder="1" applyAlignment="1" applyProtection="1">
      <alignment horizontal="left"/>
    </xf>
    <xf numFmtId="0" fontId="3" fillId="2" borderId="13" xfId="0" applyFont="1" applyFill="1" applyBorder="1" applyAlignment="1" applyProtection="1">
      <alignment horizontal="left"/>
    </xf>
    <xf numFmtId="0" fontId="17" fillId="0" borderId="16" xfId="0" applyFont="1" applyBorder="1" applyAlignment="1" applyProtection="1">
      <alignment wrapText="1"/>
    </xf>
    <xf numFmtId="0" fontId="17" fillId="0" borderId="21" xfId="0" applyFont="1" applyBorder="1" applyAlignment="1" applyProtection="1">
      <alignment wrapText="1"/>
    </xf>
    <xf numFmtId="0" fontId="17" fillId="0" borderId="3" xfId="0" applyFont="1" applyBorder="1" applyAlignment="1" applyProtection="1">
      <alignment wrapText="1"/>
    </xf>
    <xf numFmtId="0" fontId="8" fillId="0" borderId="3" xfId="0" applyFont="1" applyBorder="1" applyProtection="1"/>
    <xf numFmtId="0" fontId="17" fillId="0" borderId="3" xfId="0" applyFont="1" applyBorder="1" applyAlignment="1" applyProtection="1">
      <alignment vertical="top" wrapText="1"/>
    </xf>
    <xf numFmtId="0" fontId="3" fillId="2" borderId="0" xfId="0" applyFont="1" applyFill="1" applyAlignment="1" applyProtection="1">
      <alignment horizontal="left" vertical="top"/>
    </xf>
    <xf numFmtId="0" fontId="11" fillId="0" borderId="3" xfId="0" applyFont="1" applyBorder="1" applyAlignment="1" applyProtection="1">
      <alignment horizontal="left"/>
    </xf>
    <xf numFmtId="0" fontId="2" fillId="2" borderId="6" xfId="0" applyFont="1" applyFill="1" applyBorder="1" applyAlignment="1" applyProtection="1">
      <alignment vertical="top" wrapText="1"/>
    </xf>
    <xf numFmtId="0" fontId="11" fillId="0" borderId="16" xfId="0" applyFont="1" applyBorder="1" applyAlignment="1" applyProtection="1">
      <alignment horizontal="left" vertical="top" wrapText="1"/>
    </xf>
    <xf numFmtId="0" fontId="17" fillId="0" borderId="3" xfId="0" applyFont="1" applyBorder="1" applyAlignment="1" applyProtection="1">
      <alignment vertical="top" wrapText="1"/>
    </xf>
    <xf numFmtId="0" fontId="17" fillId="0" borderId="29" xfId="0" applyFont="1" applyBorder="1" applyAlignment="1" applyProtection="1">
      <alignment vertical="top" wrapText="1"/>
    </xf>
    <xf numFmtId="0" fontId="3" fillId="2" borderId="30" xfId="0" applyFont="1" applyFill="1" applyBorder="1" applyAlignment="1" applyProtection="1">
      <alignment horizontal="left" vertical="top"/>
    </xf>
    <xf numFmtId="0" fontId="17" fillId="0" borderId="16" xfId="0" applyFont="1" applyBorder="1" applyAlignment="1" applyProtection="1">
      <alignment vertical="top" wrapText="1"/>
    </xf>
    <xf numFmtId="0" fontId="3" fillId="0" borderId="2" xfId="0" applyFont="1" applyBorder="1" applyAlignment="1" applyProtection="1">
      <alignment horizontal="right"/>
    </xf>
    <xf numFmtId="0" fontId="17" fillId="0" borderId="0" xfId="0" applyFont="1" applyAlignment="1" applyProtection="1">
      <alignment wrapText="1"/>
    </xf>
    <xf numFmtId="0" fontId="3" fillId="0" borderId="6" xfId="0" applyFont="1" applyBorder="1" applyAlignment="1" applyProtection="1">
      <alignment horizontal="left"/>
    </xf>
    <xf numFmtId="0" fontId="21" fillId="2" borderId="35" xfId="0" applyFont="1" applyFill="1" applyBorder="1" applyAlignment="1" applyProtection="1">
      <alignment wrapText="1"/>
    </xf>
    <xf numFmtId="0" fontId="3" fillId="0" borderId="16" xfId="0" applyFont="1" applyBorder="1" applyAlignment="1" applyProtection="1">
      <alignment horizontal="left" vertical="top"/>
    </xf>
    <xf numFmtId="0" fontId="11" fillId="0" borderId="17" xfId="0" applyFont="1" applyBorder="1" applyAlignment="1" applyProtection="1">
      <alignment horizontal="left" wrapText="1"/>
    </xf>
    <xf numFmtId="0" fontId="2" fillId="0" borderId="21" xfId="0" applyFont="1" applyBorder="1" applyAlignment="1" applyProtection="1">
      <alignment horizontal="right"/>
    </xf>
    <xf numFmtId="0" fontId="11" fillId="0" borderId="6" xfId="0" applyFont="1" applyBorder="1" applyAlignment="1" applyProtection="1">
      <alignment horizontal="right"/>
    </xf>
    <xf numFmtId="0" fontId="3" fillId="0" borderId="30" xfId="0" applyFont="1" applyBorder="1" applyAlignment="1" applyProtection="1">
      <alignment horizontal="left"/>
    </xf>
    <xf numFmtId="0" fontId="3" fillId="2" borderId="6" xfId="0" applyFont="1" applyFill="1" applyBorder="1" applyAlignment="1" applyProtection="1">
      <alignment horizontal="left" vertical="center"/>
    </xf>
    <xf numFmtId="0" fontId="11" fillId="0" borderId="21" xfId="0" applyFont="1" applyBorder="1" applyAlignment="1" applyProtection="1"/>
    <xf numFmtId="0" fontId="11" fillId="0" borderId="16" xfId="0" applyFont="1" applyBorder="1" applyAlignment="1" applyProtection="1">
      <alignment vertical="top" wrapText="1"/>
    </xf>
    <xf numFmtId="0" fontId="14" fillId="3" borderId="18" xfId="0" applyFont="1" applyFill="1" applyBorder="1" applyAlignment="1" applyProtection="1">
      <alignment horizontal="center" wrapText="1"/>
      <protection locked="0"/>
    </xf>
    <xf numFmtId="49" fontId="15" fillId="3" borderId="16" xfId="0" applyNumberFormat="1" applyFont="1" applyFill="1" applyBorder="1" applyAlignment="1" applyProtection="1">
      <alignment horizontal="center"/>
      <protection locked="0"/>
    </xf>
    <xf numFmtId="0" fontId="8" fillId="0" borderId="23" xfId="0" applyFont="1" applyBorder="1" applyProtection="1">
      <protection locked="0"/>
    </xf>
    <xf numFmtId="49" fontId="15" fillId="3" borderId="21" xfId="0" applyNumberFormat="1" applyFont="1" applyFill="1" applyBorder="1" applyAlignment="1" applyProtection="1">
      <alignment horizontal="center"/>
      <protection locked="0"/>
    </xf>
    <xf numFmtId="0" fontId="14" fillId="3" borderId="20" xfId="0" applyFont="1" applyFill="1" applyBorder="1" applyAlignment="1" applyProtection="1">
      <alignment horizontal="center"/>
      <protection locked="0"/>
    </xf>
    <xf numFmtId="0" fontId="14" fillId="3" borderId="25" xfId="0" applyFont="1" applyFill="1" applyBorder="1" applyAlignment="1" applyProtection="1">
      <alignment horizontal="center"/>
      <protection locked="0"/>
    </xf>
    <xf numFmtId="0" fontId="14" fillId="3" borderId="27" xfId="0" applyFont="1" applyFill="1" applyBorder="1" applyAlignment="1" applyProtection="1">
      <alignment horizontal="center"/>
      <protection locked="0"/>
    </xf>
    <xf numFmtId="49" fontId="15" fillId="3" borderId="28" xfId="0" applyNumberFormat="1" applyFont="1" applyFill="1" applyBorder="1" applyAlignment="1" applyProtection="1">
      <alignment horizontal="center" wrapText="1"/>
      <protection locked="0"/>
    </xf>
    <xf numFmtId="49" fontId="15" fillId="3" borderId="28" xfId="0" applyNumberFormat="1" applyFont="1" applyFill="1" applyBorder="1" applyAlignment="1" applyProtection="1">
      <alignment horizontal="center"/>
      <protection locked="0"/>
    </xf>
    <xf numFmtId="0" fontId="14" fillId="3" borderId="19" xfId="0" applyFont="1" applyFill="1" applyBorder="1" applyAlignment="1" applyProtection="1">
      <alignment horizontal="center"/>
      <protection locked="0"/>
    </xf>
    <xf numFmtId="0" fontId="14" fillId="3" borderId="33" xfId="0" applyFont="1" applyFill="1" applyBorder="1" applyAlignment="1" applyProtection="1">
      <alignment horizontal="center"/>
      <protection locked="0"/>
    </xf>
    <xf numFmtId="49" fontId="15" fillId="3" borderId="6" xfId="0" applyNumberFormat="1" applyFont="1" applyFill="1" applyBorder="1" applyAlignment="1" applyProtection="1">
      <alignment horizontal="center"/>
      <protection locked="0"/>
    </xf>
    <xf numFmtId="0" fontId="14" fillId="3" borderId="16" xfId="0" applyFont="1" applyFill="1" applyBorder="1" applyAlignment="1" applyProtection="1">
      <alignment horizontal="center" vertical="center"/>
      <protection locked="0"/>
    </xf>
    <xf numFmtId="0" fontId="14" fillId="3" borderId="24" xfId="0" applyFont="1" applyFill="1" applyBorder="1" applyAlignment="1" applyProtection="1">
      <alignment horizontal="center"/>
      <protection locked="0"/>
    </xf>
    <xf numFmtId="0" fontId="14" fillId="3" borderId="16" xfId="0" applyFont="1" applyFill="1" applyBorder="1" applyAlignment="1" applyProtection="1">
      <alignment horizontal="center"/>
      <protection locked="0"/>
    </xf>
    <xf numFmtId="0" fontId="14" fillId="3" borderId="2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28" xfId="0" applyFont="1" applyFill="1" applyBorder="1" applyAlignment="1" applyProtection="1">
      <alignment horizontal="center"/>
      <protection locked="0"/>
    </xf>
    <xf numFmtId="0" fontId="14" fillId="3" borderId="36" xfId="0" applyFont="1" applyFill="1" applyBorder="1" applyAlignment="1" applyProtection="1">
      <alignment horizontal="center"/>
      <protection locked="0"/>
    </xf>
    <xf numFmtId="49" fontId="15" fillId="3" borderId="36" xfId="0" applyNumberFormat="1" applyFont="1" applyFill="1" applyBorder="1" applyAlignment="1" applyProtection="1">
      <alignment horizontal="center"/>
      <protection locked="0"/>
    </xf>
    <xf numFmtId="49" fontId="15" fillId="3" borderId="24" xfId="0" applyNumberFormat="1" applyFont="1" applyFill="1" applyBorder="1" applyAlignment="1" applyProtection="1">
      <alignment horizontal="center"/>
      <protection locked="0"/>
    </xf>
    <xf numFmtId="49" fontId="15" fillId="3" borderId="19" xfId="0" applyNumberFormat="1" applyFont="1" applyFill="1" applyBorder="1" applyAlignment="1" applyProtection="1">
      <alignment horizontal="center"/>
      <protection locked="0"/>
    </xf>
    <xf numFmtId="0" fontId="14" fillId="3" borderId="19" xfId="0" applyFont="1" applyFill="1" applyBorder="1" applyAlignment="1" applyProtection="1">
      <alignment horizontal="center" vertical="top"/>
      <protection locked="0"/>
    </xf>
    <xf numFmtId="49" fontId="15" fillId="3" borderId="16" xfId="0" applyNumberFormat="1" applyFont="1" applyFill="1" applyBorder="1" applyAlignment="1" applyProtection="1">
      <alignment horizontal="center" vertical="top" wrapText="1"/>
      <protection locked="0"/>
    </xf>
    <xf numFmtId="49" fontId="19" fillId="3" borderId="6" xfId="0" applyNumberFormat="1" applyFont="1" applyFill="1" applyBorder="1" applyAlignment="1" applyProtection="1">
      <alignment horizontal="center" wrapText="1"/>
      <protection locked="0"/>
    </xf>
    <xf numFmtId="49" fontId="15" fillId="3" borderId="29" xfId="0" applyNumberFormat="1" applyFont="1" applyFill="1" applyBorder="1" applyAlignment="1" applyProtection="1">
      <alignment horizontal="center"/>
      <protection locked="0"/>
    </xf>
    <xf numFmtId="49" fontId="15" fillId="3" borderId="23" xfId="0" applyNumberFormat="1" applyFont="1" applyFill="1" applyBorder="1" applyAlignment="1" applyProtection="1">
      <alignment horizontal="center"/>
      <protection locked="0"/>
    </xf>
    <xf numFmtId="49" fontId="15" fillId="3" borderId="37" xfId="0" applyNumberFormat="1" applyFont="1" applyFill="1" applyBorder="1" applyAlignment="1" applyProtection="1">
      <alignment horizontal="center"/>
      <protection locked="0"/>
    </xf>
    <xf numFmtId="49" fontId="15" fillId="3" borderId="38" xfId="0" applyNumberFormat="1" applyFont="1" applyFill="1" applyBorder="1" applyAlignment="1" applyProtection="1">
      <alignment horizontal="center"/>
      <protection locked="0"/>
    </xf>
    <xf numFmtId="49" fontId="15" fillId="3" borderId="3" xfId="0" applyNumberFormat="1" applyFont="1" applyFill="1" applyBorder="1" applyAlignment="1" applyProtection="1">
      <alignment horizontal="center"/>
      <protection locked="0"/>
    </xf>
    <xf numFmtId="49" fontId="15" fillId="3" borderId="4" xfId="0" applyNumberFormat="1" applyFont="1" applyFill="1" applyBorder="1" applyAlignment="1" applyProtection="1">
      <alignment horizontal="center"/>
      <protection locked="0"/>
    </xf>
    <xf numFmtId="49" fontId="15" fillId="3" borderId="17" xfId="0" applyNumberFormat="1" applyFont="1" applyFill="1" applyBorder="1" applyAlignment="1" applyProtection="1">
      <alignment horizontal="center"/>
      <protection locked="0"/>
    </xf>
    <xf numFmtId="0" fontId="14" fillId="3" borderId="39" xfId="0" applyFont="1" applyFill="1" applyBorder="1" applyAlignment="1" applyProtection="1">
      <alignment horizontal="center"/>
      <protection locked="0"/>
    </xf>
    <xf numFmtId="0" fontId="14" fillId="3" borderId="40" xfId="0" applyFont="1" applyFill="1" applyBorder="1" applyAlignment="1" applyProtection="1">
      <alignment horizontal="center"/>
      <protection locked="0"/>
    </xf>
    <xf numFmtId="0" fontId="14" fillId="3" borderId="41" xfId="0" applyFont="1" applyFill="1" applyBorder="1" applyAlignment="1" applyProtection="1">
      <alignment horizontal="center" wrapText="1"/>
      <protection locked="0"/>
    </xf>
    <xf numFmtId="0" fontId="14" fillId="3" borderId="40" xfId="0" applyFont="1" applyFill="1" applyBorder="1" applyAlignment="1" applyProtection="1">
      <alignment horizontal="center" wrapText="1"/>
      <protection locked="0"/>
    </xf>
    <xf numFmtId="0" fontId="14" fillId="3" borderId="7" xfId="0" applyFont="1" applyFill="1" applyBorder="1" applyAlignment="1" applyProtection="1">
      <alignment horizontal="center"/>
      <protection locked="0"/>
    </xf>
    <xf numFmtId="0" fontId="14" fillId="3" borderId="43" xfId="0" applyFont="1" applyFill="1" applyBorder="1" applyAlignment="1" applyProtection="1">
      <alignment horizontal="center"/>
      <protection locked="0"/>
    </xf>
    <xf numFmtId="49" fontId="15" fillId="3" borderId="22" xfId="0" applyNumberFormat="1" applyFont="1" applyFill="1" applyBorder="1" applyAlignment="1" applyProtection="1">
      <alignment horizontal="center"/>
      <protection locked="0"/>
    </xf>
    <xf numFmtId="49" fontId="15" fillId="3" borderId="39" xfId="0" applyNumberFormat="1" applyFont="1" applyFill="1" applyBorder="1" applyAlignment="1" applyProtection="1">
      <alignment horizontal="center"/>
      <protection locked="0"/>
    </xf>
    <xf numFmtId="0" fontId="14" fillId="3" borderId="41" xfId="0" applyFont="1" applyFill="1" applyBorder="1" applyAlignment="1" applyProtection="1">
      <alignment horizontal="center"/>
      <protection locked="0"/>
    </xf>
    <xf numFmtId="0" fontId="14" fillId="3" borderId="41" xfId="0" applyFont="1" applyFill="1" applyBorder="1" applyAlignment="1" applyProtection="1">
      <alignment horizontal="center" vertical="top"/>
      <protection locked="0"/>
    </xf>
    <xf numFmtId="49" fontId="15" fillId="3" borderId="17" xfId="0" applyNumberFormat="1" applyFont="1" applyFill="1" applyBorder="1" applyAlignment="1" applyProtection="1">
      <alignment horizontal="center" vertical="top"/>
      <protection locked="0"/>
    </xf>
    <xf numFmtId="49" fontId="15" fillId="3" borderId="41" xfId="0" applyNumberFormat="1" applyFont="1" applyFill="1" applyBorder="1" applyAlignment="1" applyProtection="1">
      <alignment horizontal="center"/>
      <protection locked="0"/>
    </xf>
    <xf numFmtId="49" fontId="15" fillId="3" borderId="43" xfId="0" applyNumberFormat="1" applyFont="1" applyFill="1" applyBorder="1" applyAlignment="1" applyProtection="1">
      <alignment horizontal="center"/>
      <protection locked="0"/>
    </xf>
    <xf numFmtId="49" fontId="15" fillId="3" borderId="16" xfId="0" applyNumberFormat="1" applyFont="1" applyFill="1" applyBorder="1" applyAlignment="1" applyProtection="1">
      <alignment horizontal="center" vertical="top"/>
      <protection locked="0"/>
    </xf>
    <xf numFmtId="0" fontId="14" fillId="3" borderId="24" xfId="0" applyFont="1" applyFill="1" applyBorder="1" applyAlignment="1" applyProtection="1">
      <alignment horizontal="center" vertical="top"/>
      <protection locked="0"/>
    </xf>
    <xf numFmtId="49" fontId="15" fillId="3" borderId="21" xfId="0" applyNumberFormat="1" applyFont="1" applyFill="1" applyBorder="1" applyAlignment="1" applyProtection="1">
      <alignment horizontal="center" vertical="top"/>
      <protection locked="0"/>
    </xf>
    <xf numFmtId="0" fontId="14" fillId="3" borderId="43" xfId="0" applyFont="1" applyFill="1" applyBorder="1" applyAlignment="1" applyProtection="1">
      <alignment horizontal="center" vertical="top"/>
      <protection locked="0"/>
    </xf>
    <xf numFmtId="49" fontId="15" fillId="3" borderId="22" xfId="0" applyNumberFormat="1" applyFont="1" applyFill="1" applyBorder="1" applyAlignment="1" applyProtection="1">
      <alignment horizontal="center" vertical="top"/>
      <protection locked="0"/>
    </xf>
    <xf numFmtId="0" fontId="14" fillId="3" borderId="46" xfId="0" applyFont="1" applyFill="1" applyBorder="1" applyAlignment="1" applyProtection="1">
      <alignment horizontal="center" vertical="top"/>
      <protection locked="0"/>
    </xf>
    <xf numFmtId="49" fontId="15" fillId="3" borderId="41" xfId="0" applyNumberFormat="1" applyFont="1" applyFill="1" applyBorder="1" applyAlignment="1" applyProtection="1">
      <alignment horizontal="center" vertical="top"/>
      <protection locked="0"/>
    </xf>
    <xf numFmtId="0" fontId="14" fillId="3" borderId="47" xfId="0" applyFont="1" applyFill="1" applyBorder="1" applyAlignment="1" applyProtection="1">
      <alignment horizontal="center"/>
      <protection locked="0"/>
    </xf>
    <xf numFmtId="49" fontId="19" fillId="3" borderId="21" xfId="0" applyNumberFormat="1" applyFont="1" applyFill="1" applyBorder="1" applyAlignment="1" applyProtection="1">
      <alignment horizontal="center"/>
      <protection locked="0"/>
    </xf>
    <xf numFmtId="49" fontId="19" fillId="3" borderId="6" xfId="0" applyNumberFormat="1" applyFont="1" applyFill="1" applyBorder="1" applyAlignment="1" applyProtection="1">
      <alignment horizontal="center"/>
      <protection locked="0"/>
    </xf>
    <xf numFmtId="0" fontId="2" fillId="3" borderId="28" xfId="0" applyFont="1" applyFill="1" applyBorder="1" applyAlignment="1" applyProtection="1">
      <alignment horizontal="center"/>
      <protection locked="0"/>
    </xf>
    <xf numFmtId="0" fontId="2" fillId="3" borderId="33" xfId="0" applyFont="1" applyFill="1" applyBorder="1" applyAlignment="1" applyProtection="1">
      <alignment horizontal="center"/>
      <protection locked="0"/>
    </xf>
    <xf numFmtId="44" fontId="11" fillId="3" borderId="19" xfId="0" applyNumberFormat="1" applyFont="1" applyFill="1" applyBorder="1" applyAlignment="1" applyProtection="1">
      <alignment horizontal="center"/>
      <protection locked="0"/>
    </xf>
    <xf numFmtId="44" fontId="11" fillId="3" borderId="24" xfId="0" applyNumberFormat="1" applyFont="1" applyFill="1" applyBorder="1" applyAlignment="1" applyProtection="1">
      <alignment horizontal="center"/>
      <protection locked="0"/>
    </xf>
    <xf numFmtId="2" fontId="11" fillId="3" borderId="3" xfId="0" applyNumberFormat="1" applyFont="1" applyFill="1" applyBorder="1" applyAlignment="1" applyProtection="1">
      <alignment horizontal="right"/>
      <protection locked="0"/>
    </xf>
    <xf numFmtId="2" fontId="11" fillId="3" borderId="29" xfId="0" applyNumberFormat="1" applyFont="1" applyFill="1" applyBorder="1" applyAlignment="1" applyProtection="1">
      <alignment horizontal="right"/>
      <protection locked="0"/>
    </xf>
    <xf numFmtId="2" fontId="11" fillId="3" borderId="23" xfId="0" applyNumberFormat="1" applyFont="1" applyFill="1" applyBorder="1" applyAlignment="1" applyProtection="1">
      <alignment horizontal="right"/>
      <protection locked="0"/>
    </xf>
    <xf numFmtId="2" fontId="11" fillId="3" borderId="16" xfId="0" applyNumberFormat="1" applyFont="1" applyFill="1" applyBorder="1" applyAlignment="1" applyProtection="1">
      <alignment horizontal="center"/>
      <protection locked="0"/>
    </xf>
    <xf numFmtId="2" fontId="11" fillId="3" borderId="21" xfId="0" applyNumberFormat="1" applyFont="1" applyFill="1" applyBorder="1" applyAlignment="1" applyProtection="1">
      <alignment horizontal="center"/>
      <protection locked="0"/>
    </xf>
    <xf numFmtId="2" fontId="11" fillId="3" borderId="6" xfId="0" applyNumberFormat="1" applyFont="1" applyFill="1" applyBorder="1" applyAlignment="1" applyProtection="1">
      <alignment horizontal="center"/>
      <protection locked="0"/>
    </xf>
    <xf numFmtId="2" fontId="11" fillId="3" borderId="14" xfId="0" applyNumberFormat="1" applyFont="1" applyFill="1" applyBorder="1" applyAlignment="1" applyProtection="1">
      <alignment horizontal="right"/>
      <protection locked="0"/>
    </xf>
    <xf numFmtId="2" fontId="11" fillId="3" borderId="0" xfId="0" applyNumberFormat="1" applyFont="1" applyFill="1" applyAlignment="1" applyProtection="1">
      <alignment horizontal="right"/>
      <protection locked="0"/>
    </xf>
    <xf numFmtId="2" fontId="11" fillId="3" borderId="30" xfId="0" applyNumberFormat="1" applyFont="1" applyFill="1" applyBorder="1" applyAlignment="1" applyProtection="1">
      <alignment horizontal="right"/>
      <protection locked="0"/>
    </xf>
    <xf numFmtId="2" fontId="11" fillId="3" borderId="2" xfId="0" applyNumberFormat="1" applyFont="1" applyFill="1" applyBorder="1" applyAlignment="1" applyProtection="1">
      <alignment horizontal="right"/>
      <protection locked="0"/>
    </xf>
    <xf numFmtId="2" fontId="11" fillId="3" borderId="30" xfId="0" applyNumberFormat="1" applyFont="1" applyFill="1" applyBorder="1" applyAlignment="1" applyProtection="1">
      <alignment horizontal="right" vertical="top"/>
      <protection locked="0"/>
    </xf>
    <xf numFmtId="2" fontId="18" fillId="3" borderId="2" xfId="0" applyNumberFormat="1" applyFont="1" applyFill="1" applyBorder="1" applyAlignment="1" applyProtection="1">
      <alignment horizontal="right"/>
      <protection locked="0"/>
    </xf>
    <xf numFmtId="2" fontId="11" fillId="3" borderId="36" xfId="0" applyNumberFormat="1" applyFont="1" applyFill="1" applyBorder="1" applyAlignment="1" applyProtection="1">
      <alignment horizontal="right"/>
      <protection locked="0"/>
    </xf>
    <xf numFmtId="2" fontId="11" fillId="3" borderId="16" xfId="0" applyNumberFormat="1" applyFont="1" applyFill="1" applyBorder="1" applyAlignment="1" applyProtection="1">
      <alignment horizontal="right"/>
      <protection locked="0"/>
    </xf>
    <xf numFmtId="2" fontId="11" fillId="3" borderId="21" xfId="0" applyNumberFormat="1" applyFont="1" applyFill="1" applyBorder="1" applyAlignment="1" applyProtection="1">
      <alignment horizontal="right"/>
      <protection locked="0"/>
    </xf>
    <xf numFmtId="2" fontId="11" fillId="3" borderId="6" xfId="0" applyNumberFormat="1" applyFont="1" applyFill="1" applyBorder="1" applyAlignment="1" applyProtection="1">
      <alignment horizontal="right"/>
      <protection locked="0"/>
    </xf>
    <xf numFmtId="2" fontId="11" fillId="3" borderId="0" xfId="0" applyNumberFormat="1" applyFont="1" applyFill="1" applyAlignment="1" applyProtection="1">
      <alignment horizontal="right" vertical="top"/>
      <protection locked="0"/>
    </xf>
    <xf numFmtId="164" fontId="15" fillId="3" borderId="16" xfId="0" applyNumberFormat="1" applyFont="1" applyFill="1" applyBorder="1" applyAlignment="1" applyProtection="1">
      <alignment horizontal="center"/>
      <protection locked="0"/>
    </xf>
    <xf numFmtId="164" fontId="15" fillId="3" borderId="6" xfId="0" applyNumberFormat="1" applyFont="1" applyFill="1" applyBorder="1" applyAlignment="1" applyProtection="1">
      <alignment horizontal="center"/>
      <protection locked="0"/>
    </xf>
    <xf numFmtId="164" fontId="15" fillId="3" borderId="21" xfId="0" applyNumberFormat="1" applyFont="1" applyFill="1" applyBorder="1" applyAlignment="1" applyProtection="1">
      <alignment horizontal="center"/>
      <protection locked="0"/>
    </xf>
    <xf numFmtId="0" fontId="14" fillId="3" borderId="16" xfId="0" applyFont="1" applyFill="1" applyBorder="1" applyAlignment="1" applyProtection="1">
      <alignment horizontal="center" vertical="top"/>
      <protection locked="0"/>
    </xf>
    <xf numFmtId="164" fontId="15" fillId="3" borderId="36" xfId="0" applyNumberFormat="1" applyFont="1" applyFill="1" applyBorder="1" applyAlignment="1" applyProtection="1">
      <alignment horizontal="center"/>
      <protection locked="0"/>
    </xf>
    <xf numFmtId="164" fontId="15" fillId="3" borderId="19" xfId="0" applyNumberFormat="1" applyFont="1" applyFill="1" applyBorder="1" applyAlignment="1" applyProtection="1">
      <alignment horizontal="center"/>
      <protection locked="0"/>
    </xf>
    <xf numFmtId="164" fontId="15" fillId="3" borderId="28" xfId="0" applyNumberFormat="1" applyFont="1" applyFill="1" applyBorder="1" applyAlignment="1" applyProtection="1">
      <alignment horizontal="center"/>
      <protection locked="0"/>
    </xf>
    <xf numFmtId="0" fontId="14" fillId="3" borderId="36" xfId="0" applyFont="1" applyFill="1" applyBorder="1" applyAlignment="1" applyProtection="1">
      <alignment horizontal="center" vertical="center"/>
      <protection locked="0"/>
    </xf>
    <xf numFmtId="164" fontId="15" fillId="3" borderId="36" xfId="0" applyNumberFormat="1" applyFont="1" applyFill="1" applyBorder="1" applyAlignment="1" applyProtection="1">
      <alignment horizontal="center" vertical="center"/>
      <protection locked="0"/>
    </xf>
    <xf numFmtId="0" fontId="26" fillId="3" borderId="0" xfId="0" applyFont="1" applyFill="1" applyProtection="1">
      <protection locked="0"/>
    </xf>
    <xf numFmtId="164" fontId="15" fillId="3" borderId="29" xfId="0" applyNumberFormat="1" applyFont="1" applyFill="1" applyBorder="1" applyAlignment="1" applyProtection="1">
      <alignment horizontal="center"/>
      <protection locked="0"/>
    </xf>
    <xf numFmtId="164" fontId="15" fillId="3" borderId="3" xfId="0" applyNumberFormat="1" applyFont="1" applyFill="1" applyBorder="1" applyAlignment="1" applyProtection="1">
      <alignment horizontal="center"/>
      <protection locked="0"/>
    </xf>
    <xf numFmtId="164" fontId="15" fillId="3" borderId="6" xfId="0" applyNumberFormat="1" applyFont="1" applyFill="1" applyBorder="1" applyAlignment="1" applyProtection="1">
      <alignment horizontal="center" wrapText="1"/>
      <protection locked="0"/>
    </xf>
    <xf numFmtId="44" fontId="11" fillId="3" borderId="6" xfId="0" applyNumberFormat="1" applyFont="1" applyFill="1" applyBorder="1" applyAlignment="1" applyProtection="1">
      <alignment horizontal="center"/>
      <protection locked="0"/>
    </xf>
    <xf numFmtId="44" fontId="11" fillId="3" borderId="21" xfId="0" applyNumberFormat="1" applyFont="1" applyFill="1" applyBorder="1" applyAlignment="1" applyProtection="1">
      <alignment horizontal="center"/>
      <protection locked="0"/>
    </xf>
    <xf numFmtId="44" fontId="11" fillId="3" borderId="7" xfId="0" applyNumberFormat="1" applyFont="1" applyFill="1" applyBorder="1" applyAlignment="1" applyProtection="1">
      <alignment horizontal="center"/>
      <protection locked="0"/>
    </xf>
    <xf numFmtId="44" fontId="11" fillId="3" borderId="28" xfId="0" applyNumberFormat="1" applyFont="1" applyFill="1" applyBorder="1" applyAlignment="1" applyProtection="1">
      <alignment horizontal="center"/>
      <protection locked="0"/>
    </xf>
    <xf numFmtId="44" fontId="18" fillId="3" borderId="28" xfId="0" applyNumberFormat="1" applyFont="1" applyFill="1" applyBorder="1" applyAlignment="1" applyProtection="1">
      <alignment horizontal="center"/>
      <protection locked="0"/>
    </xf>
    <xf numFmtId="44" fontId="11" fillId="3" borderId="33" xfId="0" applyNumberFormat="1" applyFont="1" applyFill="1" applyBorder="1" applyAlignment="1" applyProtection="1">
      <alignment horizontal="center"/>
      <protection locked="0"/>
    </xf>
    <xf numFmtId="44" fontId="11" fillId="3" borderId="16" xfId="0" applyNumberFormat="1" applyFont="1" applyFill="1" applyBorder="1" applyAlignment="1" applyProtection="1">
      <alignment horizontal="center"/>
      <protection locked="0"/>
    </xf>
    <xf numFmtId="44" fontId="18" fillId="3" borderId="21" xfId="0" applyNumberFormat="1" applyFont="1" applyFill="1" applyBorder="1" applyAlignment="1" applyProtection="1">
      <alignment horizontal="center"/>
      <protection locked="0"/>
    </xf>
    <xf numFmtId="2" fontId="17" fillId="3" borderId="16" xfId="0" applyNumberFormat="1" applyFont="1" applyFill="1" applyBorder="1" applyAlignment="1" applyProtection="1">
      <alignment horizontal="right"/>
      <protection locked="0"/>
    </xf>
    <xf numFmtId="2" fontId="11" fillId="3" borderId="13" xfId="0" applyNumberFormat="1" applyFont="1" applyFill="1" applyBorder="1" applyAlignment="1" applyProtection="1">
      <alignment horizontal="right"/>
      <protection locked="0"/>
    </xf>
    <xf numFmtId="2" fontId="11" fillId="3" borderId="0" xfId="0" applyNumberFormat="1" applyFont="1" applyFill="1" applyAlignment="1" applyProtection="1">
      <alignment horizontal="right" vertical="center"/>
      <protection locked="0"/>
    </xf>
    <xf numFmtId="0" fontId="11" fillId="0" borderId="16" xfId="0" applyFont="1" applyBorder="1" applyAlignment="1" applyProtection="1">
      <alignment vertical="top"/>
      <protection locked="0"/>
    </xf>
    <xf numFmtId="0" fontId="11" fillId="0" borderId="6" xfId="0" applyFont="1" applyBorder="1" applyAlignment="1" applyProtection="1">
      <alignment horizontal="left" vertical="top"/>
      <protection locked="0"/>
    </xf>
    <xf numFmtId="0" fontId="11" fillId="0" borderId="3" xfId="0" applyFont="1" applyBorder="1" applyAlignment="1" applyProtection="1">
      <alignment vertical="top"/>
      <protection locked="0"/>
    </xf>
    <xf numFmtId="0" fontId="11" fillId="0" borderId="29" xfId="0" applyFont="1" applyBorder="1" applyAlignment="1" applyProtection="1">
      <alignment horizontal="left" vertical="top"/>
      <protection locked="0"/>
    </xf>
    <xf numFmtId="0" fontId="11" fillId="0" borderId="3" xfId="0" applyFont="1" applyBorder="1" applyAlignment="1" applyProtection="1">
      <alignment horizontal="left" vertical="top"/>
      <protection locked="0"/>
    </xf>
    <xf numFmtId="0" fontId="11" fillId="0" borderId="16" xfId="0" applyFont="1" applyBorder="1" applyAlignment="1" applyProtection="1">
      <alignment horizontal="left" vertical="top"/>
      <protection locked="0"/>
    </xf>
    <xf numFmtId="0" fontId="11" fillId="0" borderId="21" xfId="0" applyFont="1" applyBorder="1" applyAlignment="1" applyProtection="1">
      <alignment horizontal="left" vertical="top"/>
      <protection locked="0"/>
    </xf>
    <xf numFmtId="0" fontId="11" fillId="0" borderId="16" xfId="0" applyFont="1" applyBorder="1" applyAlignment="1" applyProtection="1">
      <alignment horizontal="left"/>
      <protection locked="0"/>
    </xf>
    <xf numFmtId="0" fontId="18" fillId="0" borderId="21" xfId="0" applyFont="1" applyBorder="1" applyAlignment="1" applyProtection="1">
      <alignment horizontal="left"/>
      <protection locked="0"/>
    </xf>
    <xf numFmtId="0" fontId="11" fillId="0" borderId="6" xfId="0" applyFont="1" applyBorder="1" applyAlignment="1" applyProtection="1">
      <alignment horizontal="left"/>
      <protection locked="0"/>
    </xf>
    <xf numFmtId="0" fontId="11" fillId="0" borderId="36" xfId="0" applyFont="1" applyBorder="1" applyAlignment="1" applyProtection="1">
      <alignment horizontal="left" vertical="top"/>
      <protection locked="0"/>
    </xf>
    <xf numFmtId="0" fontId="18" fillId="0" borderId="21" xfId="0" applyFont="1" applyBorder="1" applyAlignment="1" applyProtection="1">
      <alignment vertical="top"/>
      <protection locked="0"/>
    </xf>
    <xf numFmtId="0" fontId="11" fillId="0" borderId="6" xfId="0" applyFont="1" applyBorder="1" applyAlignment="1" applyProtection="1">
      <alignment vertical="top"/>
      <protection locked="0"/>
    </xf>
    <xf numFmtId="0" fontId="11" fillId="0" borderId="21" xfId="0" applyFont="1" applyBorder="1" applyAlignment="1" applyProtection="1">
      <alignment vertical="top"/>
      <protection locked="0"/>
    </xf>
    <xf numFmtId="0" fontId="18" fillId="0" borderId="6" xfId="0" applyFont="1" applyBorder="1" applyAlignment="1" applyProtection="1">
      <alignment vertical="top"/>
      <protection locked="0"/>
    </xf>
    <xf numFmtId="0" fontId="11" fillId="0" borderId="36" xfId="0" applyFont="1" applyBorder="1" applyAlignment="1" applyProtection="1">
      <alignment vertical="top"/>
      <protection locked="0"/>
    </xf>
    <xf numFmtId="0" fontId="11" fillId="0" borderId="4" xfId="0" applyFont="1" applyBorder="1" applyAlignment="1" applyProtection="1">
      <alignment vertical="top"/>
      <protection locked="0"/>
    </xf>
    <xf numFmtId="0" fontId="11" fillId="0" borderId="17" xfId="0" applyFont="1" applyBorder="1" applyAlignment="1" applyProtection="1">
      <alignment horizontal="left" vertical="top"/>
      <protection locked="0"/>
    </xf>
    <xf numFmtId="0" fontId="11" fillId="0" borderId="4" xfId="0" applyFont="1" applyBorder="1" applyAlignment="1" applyProtection="1">
      <alignment horizontal="left" vertical="top"/>
      <protection locked="0"/>
    </xf>
    <xf numFmtId="0" fontId="11" fillId="0" borderId="16" xfId="0" applyFont="1" applyBorder="1" applyAlignment="1" applyProtection="1">
      <alignment horizontal="left" vertical="top" wrapText="1"/>
      <protection locked="0"/>
    </xf>
    <xf numFmtId="0" fontId="8" fillId="0" borderId="21" xfId="0" applyFont="1" applyBorder="1" applyProtection="1">
      <protection locked="0"/>
    </xf>
    <xf numFmtId="0" fontId="18" fillId="0" borderId="4" xfId="0" applyFont="1" applyBorder="1" applyAlignment="1" applyProtection="1">
      <alignment horizontal="left" vertical="top"/>
      <protection locked="0"/>
    </xf>
    <xf numFmtId="0" fontId="11" fillId="0" borderId="22" xfId="0" applyFont="1" applyBorder="1" applyAlignment="1" applyProtection="1">
      <alignment horizontal="left" vertical="top"/>
      <protection locked="0"/>
    </xf>
    <xf numFmtId="0" fontId="11" fillId="0" borderId="17" xfId="0" applyFont="1" applyBorder="1" applyAlignment="1" applyProtection="1">
      <alignment horizontal="left" vertical="top" wrapText="1"/>
      <protection locked="0"/>
    </xf>
    <xf numFmtId="0" fontId="8" fillId="0" borderId="22" xfId="0" applyFont="1" applyBorder="1" applyProtection="1">
      <protection locked="0"/>
    </xf>
    <xf numFmtId="0" fontId="11" fillId="0" borderId="0" xfId="0" applyFont="1" applyAlignment="1" applyProtection="1">
      <alignment vertical="top"/>
      <protection locked="0"/>
    </xf>
    <xf numFmtId="0" fontId="26" fillId="0" borderId="0" xfId="0" applyFont="1" applyAlignment="1" applyProtection="1">
      <alignment horizontal="left" vertical="top"/>
      <protection locked="0"/>
    </xf>
    <xf numFmtId="0" fontId="11" fillId="0" borderId="16" xfId="0" quotePrefix="1" applyFont="1" applyBorder="1" applyAlignment="1" applyProtection="1">
      <alignment vertical="top"/>
      <protection locked="0"/>
    </xf>
    <xf numFmtId="0" fontId="11" fillId="0" borderId="36" xfId="0" quotePrefix="1" applyFont="1" applyBorder="1" applyAlignment="1" applyProtection="1">
      <alignment vertical="top"/>
      <protection locked="0"/>
    </xf>
    <xf numFmtId="0" fontId="15" fillId="3" borderId="16" xfId="0" applyFont="1" applyFill="1" applyBorder="1" applyAlignment="1" applyProtection="1">
      <alignment horizontal="center"/>
      <protection locked="0"/>
    </xf>
    <xf numFmtId="0" fontId="15" fillId="3" borderId="21" xfId="0" applyFont="1" applyFill="1" applyBorder="1" applyAlignment="1" applyProtection="1">
      <alignment horizontal="center"/>
      <protection locked="0"/>
    </xf>
    <xf numFmtId="49" fontId="15" fillId="3" borderId="21" xfId="0" applyNumberFormat="1" applyFont="1" applyFill="1" applyBorder="1" applyAlignment="1" applyProtection="1">
      <alignment horizontal="center" wrapText="1"/>
      <protection locked="0"/>
    </xf>
    <xf numFmtId="0" fontId="35" fillId="2" borderId="38" xfId="0" applyFont="1" applyFill="1" applyBorder="1" applyAlignment="1" applyProtection="1">
      <alignment horizontal="left" vertical="top" wrapText="1"/>
      <protection locked="0"/>
    </xf>
    <xf numFmtId="0" fontId="35" fillId="2" borderId="36" xfId="0" applyFont="1" applyFill="1" applyBorder="1" applyAlignment="1" applyProtection="1">
      <alignment horizontal="left" vertical="top" wrapText="1"/>
      <protection locked="0"/>
    </xf>
    <xf numFmtId="0" fontId="36" fillId="3" borderId="20" xfId="0" applyFont="1" applyFill="1" applyBorder="1" applyAlignment="1" applyProtection="1">
      <alignment horizontal="center"/>
      <protection locked="0"/>
    </xf>
    <xf numFmtId="0" fontId="14" fillId="3" borderId="25" xfId="0" applyFont="1" applyFill="1" applyBorder="1" applyAlignment="1" applyProtection="1">
      <alignment horizontal="center" wrapText="1"/>
      <protection locked="0"/>
    </xf>
    <xf numFmtId="0" fontId="14" fillId="3" borderId="24" xfId="0" applyFont="1" applyFill="1" applyBorder="1" applyAlignment="1" applyProtection="1">
      <alignment horizontal="center" wrapText="1"/>
      <protection locked="0"/>
    </xf>
    <xf numFmtId="0" fontId="14" fillId="3" borderId="19" xfId="0" applyFont="1" applyFill="1" applyBorder="1" applyAlignment="1" applyProtection="1">
      <alignment horizontal="center" wrapText="1"/>
      <protection locked="0"/>
    </xf>
    <xf numFmtId="0" fontId="14" fillId="3" borderId="28" xfId="0" applyFont="1" applyFill="1" applyBorder="1" applyAlignment="1" applyProtection="1">
      <alignment horizontal="center" wrapText="1"/>
      <protection locked="0"/>
    </xf>
    <xf numFmtId="0" fontId="14" fillId="3" borderId="16" xfId="0" applyFont="1" applyFill="1" applyBorder="1" applyAlignment="1" applyProtection="1">
      <alignment horizontal="center" wrapText="1"/>
      <protection locked="0"/>
    </xf>
    <xf numFmtId="0" fontId="11" fillId="0" borderId="6" xfId="0" applyFont="1" applyBorder="1" applyAlignment="1" applyProtection="1">
      <alignment vertical="top" wrapText="1"/>
      <protection locked="0"/>
    </xf>
    <xf numFmtId="0" fontId="14" fillId="3" borderId="21" xfId="0" applyFont="1" applyFill="1" applyBorder="1" applyAlignment="1" applyProtection="1">
      <alignment horizontal="center" wrapText="1"/>
      <protection locked="0"/>
    </xf>
    <xf numFmtId="0" fontId="14" fillId="3" borderId="36" xfId="0" applyFont="1" applyFill="1" applyBorder="1" applyAlignment="1" applyProtection="1">
      <alignment horizontal="center" wrapText="1"/>
      <protection locked="0"/>
    </xf>
    <xf numFmtId="0" fontId="11" fillId="2" borderId="21" xfId="0" applyFont="1" applyFill="1" applyBorder="1" applyAlignment="1" applyProtection="1">
      <alignment vertical="top"/>
      <protection locked="0"/>
    </xf>
    <xf numFmtId="0" fontId="11" fillId="2" borderId="6" xfId="0" applyFont="1" applyFill="1" applyBorder="1" applyAlignment="1" applyProtection="1">
      <alignment vertical="top" wrapText="1"/>
      <protection locked="0"/>
    </xf>
    <xf numFmtId="0" fontId="14" fillId="3" borderId="6" xfId="0" applyFont="1" applyFill="1" applyBorder="1" applyAlignment="1" applyProtection="1">
      <alignment horizontal="center" wrapText="1"/>
      <protection locked="0"/>
    </xf>
    <xf numFmtId="0" fontId="11" fillId="2" borderId="6" xfId="0" applyFont="1" applyFill="1" applyBorder="1" applyAlignment="1" applyProtection="1">
      <alignment vertical="top"/>
      <protection locked="0"/>
    </xf>
    <xf numFmtId="164" fontId="15" fillId="3" borderId="17" xfId="0" applyNumberFormat="1" applyFont="1" applyFill="1" applyBorder="1" applyAlignment="1" applyProtection="1">
      <alignment horizontal="center"/>
      <protection locked="0"/>
    </xf>
    <xf numFmtId="164" fontId="15" fillId="3" borderId="4" xfId="0" applyNumberFormat="1" applyFont="1" applyFill="1" applyBorder="1" applyAlignment="1" applyProtection="1">
      <alignment horizontal="center"/>
      <protection locked="0"/>
    </xf>
    <xf numFmtId="164" fontId="15" fillId="3" borderId="16" xfId="0" applyNumberFormat="1" applyFont="1" applyFill="1" applyBorder="1" applyAlignment="1" applyProtection="1">
      <alignment horizontal="center" wrapText="1"/>
      <protection locked="0"/>
    </xf>
    <xf numFmtId="164" fontId="15" fillId="3" borderId="21" xfId="0" applyNumberFormat="1" applyFont="1" applyFill="1" applyBorder="1" applyAlignment="1" applyProtection="1">
      <alignment horizontal="center" wrapText="1"/>
      <protection locked="0"/>
    </xf>
    <xf numFmtId="0" fontId="17" fillId="2" borderId="0" xfId="0" applyFont="1" applyFill="1" applyAlignment="1" applyProtection="1">
      <alignment horizontal="left"/>
      <protection locked="0"/>
    </xf>
    <xf numFmtId="0" fontId="14" fillId="3" borderId="33" xfId="0" applyFont="1" applyFill="1" applyBorder="1" applyAlignment="1" applyProtection="1">
      <alignment horizontal="center" wrapText="1"/>
      <protection locked="0"/>
    </xf>
    <xf numFmtId="0" fontId="17" fillId="2" borderId="33" xfId="0" applyFont="1" applyFill="1" applyBorder="1" applyAlignment="1" applyProtection="1">
      <alignment horizontal="left" wrapText="1"/>
      <protection locked="0"/>
    </xf>
    <xf numFmtId="0" fontId="17" fillId="2" borderId="16" xfId="0" applyFont="1" applyFill="1" applyBorder="1" applyAlignment="1" applyProtection="1">
      <alignment horizontal="left"/>
      <protection locked="0"/>
    </xf>
    <xf numFmtId="0" fontId="11" fillId="0" borderId="21" xfId="0" applyFont="1" applyBorder="1" applyAlignment="1" applyProtection="1">
      <alignment vertical="top" wrapText="1"/>
      <protection locked="0"/>
    </xf>
    <xf numFmtId="0" fontId="14" fillId="3" borderId="65" xfId="0" applyFont="1" applyFill="1" applyBorder="1" applyAlignment="1" applyProtection="1">
      <alignment horizontal="center"/>
      <protection locked="0"/>
    </xf>
    <xf numFmtId="164" fontId="15" fillId="3" borderId="64" xfId="0" applyNumberFormat="1" applyFont="1" applyFill="1" applyBorder="1" applyAlignment="1" applyProtection="1">
      <alignment horizontal="center"/>
      <protection locked="0"/>
    </xf>
    <xf numFmtId="0" fontId="11" fillId="0" borderId="64" xfId="0" applyFont="1" applyBorder="1" applyAlignment="1" applyProtection="1">
      <alignment vertical="top"/>
      <protection locked="0"/>
    </xf>
    <xf numFmtId="0" fontId="14" fillId="3" borderId="62" xfId="0" applyFont="1" applyFill="1" applyBorder="1" applyAlignment="1" applyProtection="1">
      <alignment horizontal="center"/>
      <protection locked="0"/>
    </xf>
    <xf numFmtId="164" fontId="15" fillId="3" borderId="67" xfId="0" applyNumberFormat="1" applyFont="1" applyFill="1" applyBorder="1" applyAlignment="1" applyProtection="1">
      <alignment horizontal="center"/>
      <protection locked="0"/>
    </xf>
    <xf numFmtId="0" fontId="11" fillId="0" borderId="67" xfId="0" applyFont="1" applyBorder="1" applyAlignment="1" applyProtection="1">
      <alignment vertical="top"/>
      <protection locked="0"/>
    </xf>
    <xf numFmtId="164" fontId="15" fillId="3" borderId="7" xfId="0" applyNumberFormat="1" applyFont="1" applyFill="1" applyBorder="1" applyAlignment="1" applyProtection="1">
      <alignment horizontal="center"/>
      <protection locked="0"/>
    </xf>
    <xf numFmtId="0" fontId="2" fillId="2" borderId="6" xfId="0" applyFont="1" applyFill="1" applyBorder="1" applyAlignment="1" applyProtection="1">
      <alignment vertical="top"/>
      <protection locked="0"/>
    </xf>
    <xf numFmtId="44" fontId="11" fillId="3" borderId="19" xfId="0" applyNumberFormat="1" applyFont="1" applyFill="1" applyBorder="1" applyProtection="1">
      <protection locked="0"/>
    </xf>
    <xf numFmtId="44" fontId="11" fillId="3" borderId="24" xfId="0" applyNumberFormat="1" applyFont="1" applyFill="1" applyBorder="1" applyProtection="1">
      <protection locked="0"/>
    </xf>
    <xf numFmtId="44" fontId="11" fillId="3" borderId="36" xfId="0" applyNumberFormat="1" applyFont="1" applyFill="1" applyBorder="1" applyAlignment="1" applyProtection="1">
      <alignment horizontal="center"/>
      <protection locked="0"/>
    </xf>
    <xf numFmtId="44" fontId="18" fillId="3" borderId="6" xfId="0" applyNumberFormat="1" applyFont="1" applyFill="1" applyBorder="1" applyAlignment="1" applyProtection="1">
      <alignment horizontal="center"/>
      <protection locked="0"/>
    </xf>
    <xf numFmtId="44" fontId="11" fillId="3" borderId="65" xfId="0" applyNumberFormat="1" applyFont="1" applyFill="1" applyBorder="1" applyAlignment="1" applyProtection="1">
      <alignment horizontal="center"/>
      <protection locked="0"/>
    </xf>
    <xf numFmtId="44" fontId="11" fillId="3" borderId="62" xfId="0" applyNumberFormat="1" applyFont="1" applyFill="1" applyBorder="1" applyAlignment="1" applyProtection="1">
      <alignment horizontal="center"/>
      <protection locked="0"/>
    </xf>
    <xf numFmtId="0" fontId="14" fillId="3" borderId="16" xfId="0" applyFont="1" applyFill="1" applyBorder="1" applyAlignment="1" applyProtection="1">
      <alignment horizontal="center" vertical="center" wrapText="1"/>
      <protection locked="0"/>
    </xf>
    <xf numFmtId="49" fontId="15" fillId="3" borderId="16" xfId="0" applyNumberFormat="1" applyFont="1" applyFill="1" applyBorder="1" applyAlignment="1" applyProtection="1">
      <alignment horizontal="center" vertical="center"/>
      <protection locked="0"/>
    </xf>
    <xf numFmtId="0" fontId="11" fillId="0" borderId="16" xfId="0" applyFont="1" applyBorder="1" applyAlignment="1" applyProtection="1">
      <alignment horizontal="center" vertical="top"/>
      <protection locked="0"/>
    </xf>
    <xf numFmtId="49" fontId="15" fillId="3" borderId="33" xfId="0" applyNumberFormat="1" applyFont="1" applyFill="1" applyBorder="1" applyAlignment="1" applyProtection="1">
      <alignment horizontal="center"/>
      <protection locked="0"/>
    </xf>
    <xf numFmtId="0" fontId="11" fillId="0" borderId="36" xfId="0" applyFont="1" applyBorder="1" applyAlignment="1" applyProtection="1">
      <alignment vertical="top" wrapText="1"/>
      <protection locked="0"/>
    </xf>
    <xf numFmtId="44" fontId="11" fillId="3" borderId="16" xfId="0" applyNumberFormat="1" applyFont="1" applyFill="1" applyBorder="1" applyAlignment="1" applyProtection="1">
      <alignment horizontal="center" vertical="center"/>
      <protection locked="0"/>
    </xf>
    <xf numFmtId="2" fontId="14" fillId="3" borderId="36" xfId="0" applyNumberFormat="1" applyFont="1" applyFill="1" applyBorder="1" applyAlignment="1" applyProtection="1">
      <alignment horizontal="center" wrapText="1"/>
      <protection locked="0"/>
    </xf>
    <xf numFmtId="0" fontId="11" fillId="0" borderId="16" xfId="0" applyFont="1" applyBorder="1" applyAlignment="1" applyProtection="1">
      <alignment vertical="top" wrapText="1"/>
      <protection locked="0"/>
    </xf>
    <xf numFmtId="49" fontId="15" fillId="3" borderId="67" xfId="0" applyNumberFormat="1" applyFont="1" applyFill="1" applyBorder="1" applyAlignment="1" applyProtection="1">
      <alignment horizontal="center"/>
      <protection locked="0"/>
    </xf>
    <xf numFmtId="0" fontId="41" fillId="6" borderId="16" xfId="0" applyFont="1" applyFill="1" applyBorder="1" applyAlignment="1" applyProtection="1">
      <alignment horizontal="center"/>
      <protection locked="0"/>
    </xf>
    <xf numFmtId="49" fontId="42" fillId="6" borderId="16" xfId="0" applyNumberFormat="1" applyFont="1" applyFill="1" applyBorder="1" applyAlignment="1" applyProtection="1">
      <alignment horizontal="center"/>
      <protection locked="0"/>
    </xf>
    <xf numFmtId="0" fontId="17" fillId="0" borderId="16" xfId="0" applyFont="1" applyBorder="1" applyAlignment="1" applyProtection="1">
      <alignment vertical="top"/>
      <protection locked="0"/>
    </xf>
    <xf numFmtId="49" fontId="43" fillId="3" borderId="21" xfId="0" applyNumberFormat="1" applyFont="1" applyFill="1" applyBorder="1" applyAlignment="1" applyProtection="1">
      <alignment horizontal="center" wrapText="1"/>
      <protection locked="0"/>
    </xf>
    <xf numFmtId="0" fontId="11" fillId="0" borderId="16" xfId="0" applyFont="1" applyBorder="1" applyAlignment="1" applyProtection="1">
      <alignment vertical="top"/>
      <protection locked="0"/>
    </xf>
    <xf numFmtId="0" fontId="17" fillId="0" borderId="21" xfId="0" applyFont="1" applyBorder="1" applyAlignment="1" applyProtection="1">
      <alignment vertical="top"/>
      <protection locked="0"/>
    </xf>
    <xf numFmtId="49" fontId="0" fillId="3" borderId="21" xfId="0" applyNumberFormat="1" applyFont="1" applyFill="1" applyBorder="1" applyAlignment="1" applyProtection="1">
      <alignment horizontal="center"/>
      <protection locked="0"/>
    </xf>
    <xf numFmtId="0" fontId="45" fillId="0" borderId="21" xfId="0" applyFont="1" applyBorder="1" applyAlignment="1" applyProtection="1">
      <alignment vertical="top"/>
      <protection locked="0"/>
    </xf>
    <xf numFmtId="16" fontId="14" fillId="3" borderId="16" xfId="0" applyNumberFormat="1" applyFont="1" applyFill="1" applyBorder="1" applyAlignment="1" applyProtection="1">
      <alignment horizontal="center"/>
      <protection locked="0"/>
    </xf>
    <xf numFmtId="0" fontId="36" fillId="3" borderId="24" xfId="0" applyFont="1" applyFill="1" applyBorder="1" applyAlignment="1" applyProtection="1">
      <alignment horizontal="center"/>
      <protection locked="0"/>
    </xf>
    <xf numFmtId="9" fontId="48" fillId="0" borderId="77" xfId="0" applyNumberFormat="1" applyFont="1" applyBorder="1" applyAlignment="1" applyProtection="1">
      <alignment horizontal="center"/>
      <protection locked="0"/>
    </xf>
    <xf numFmtId="0" fontId="8" fillId="0" borderId="77" xfId="0" applyFont="1" applyBorder="1" applyProtection="1">
      <protection locked="0"/>
    </xf>
    <xf numFmtId="3" fontId="6" fillId="2" borderId="12" xfId="0" applyNumberFormat="1" applyFont="1" applyFill="1" applyBorder="1" applyAlignment="1" applyProtection="1">
      <alignment horizontal="center"/>
      <protection locked="0"/>
    </xf>
    <xf numFmtId="0" fontId="8" fillId="0" borderId="14" xfId="0" applyFont="1" applyBorder="1" applyProtection="1">
      <protection locked="0"/>
    </xf>
    <xf numFmtId="3" fontId="5" fillId="2" borderId="12" xfId="0" applyNumberFormat="1" applyFont="1" applyFill="1" applyBorder="1" applyAlignment="1" applyProtection="1">
      <alignment horizontal="center"/>
      <protection locked="0"/>
    </xf>
    <xf numFmtId="164" fontId="30" fillId="2" borderId="47" xfId="0" applyNumberFormat="1" applyFont="1" applyFill="1" applyBorder="1" applyAlignment="1" applyProtection="1">
      <alignment horizontal="left" vertical="top"/>
      <protection locked="0"/>
    </xf>
    <xf numFmtId="0" fontId="8" fillId="0" borderId="47" xfId="0" applyFont="1" applyBorder="1" applyProtection="1">
      <protection locked="0"/>
    </xf>
    <xf numFmtId="0" fontId="52" fillId="0" borderId="47" xfId="0" applyFont="1" applyBorder="1" applyProtection="1">
      <protection locked="0"/>
    </xf>
    <xf numFmtId="0" fontId="52" fillId="0" borderId="68" xfId="0" applyFont="1" applyBorder="1" applyProtection="1">
      <protection locked="0"/>
    </xf>
    <xf numFmtId="0" fontId="8" fillId="0" borderId="68" xfId="0" applyFont="1" applyBorder="1" applyProtection="1">
      <protection locked="0"/>
    </xf>
    <xf numFmtId="0" fontId="30" fillId="2" borderId="68" xfId="0" applyFont="1" applyFill="1" applyBorder="1" applyAlignment="1" applyProtection="1">
      <alignment horizontal="left"/>
      <protection locked="0"/>
    </xf>
    <xf numFmtId="0" fontId="27" fillId="0" borderId="68" xfId="0" applyFont="1" applyBorder="1" applyAlignment="1" applyProtection="1">
      <alignment wrapText="1"/>
      <protection locked="0"/>
    </xf>
    <xf numFmtId="0" fontId="27" fillId="0" borderId="68" xfId="0" applyFont="1" applyBorder="1" applyAlignment="1" applyProtection="1">
      <alignment horizontal="left" wrapText="1"/>
      <protection locked="0"/>
    </xf>
    <xf numFmtId="0" fontId="0" fillId="0" borderId="0" xfId="0" applyFont="1" applyAlignment="1" applyProtection="1">
      <protection locked="0"/>
    </xf>
    <xf numFmtId="0" fontId="7" fillId="0" borderId="2" xfId="0" applyFont="1" applyBorder="1" applyAlignment="1" applyProtection="1">
      <alignment horizontal="left"/>
      <protection locked="0"/>
    </xf>
    <xf numFmtId="0" fontId="8" fillId="0" borderId="2" xfId="0" applyFont="1" applyBorder="1" applyProtection="1">
      <protection locked="0"/>
    </xf>
    <xf numFmtId="0" fontId="61" fillId="0" borderId="0" xfId="0" applyFont="1" applyAlignment="1" applyProtection="1">
      <alignment horizontal="center"/>
      <protection locked="0"/>
    </xf>
  </cellXfs>
  <cellStyles count="1">
    <cellStyle name="Normal" xfId="0" builtinId="0"/>
  </cellStyles>
  <dxfs count="2">
    <dxf>
      <font>
        <color rgb="FF000000"/>
      </font>
      <fill>
        <patternFill patternType="solid">
          <fgColor rgb="FFB6D7A8"/>
          <bgColor rgb="FFB6D7A8"/>
        </patternFill>
      </fill>
    </dxf>
    <dxf>
      <fill>
        <patternFill patternType="solid">
          <fgColor rgb="FFEA9999"/>
          <bgColor rgb="FFEA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71"/>
  <sheetViews>
    <sheetView tabSelected="1" zoomScaleNormal="100" workbookViewId="0">
      <pane ySplit="1" topLeftCell="A17" activePane="bottomLeft" state="frozen"/>
      <selection pane="bottomLeft" activeCell="G10" sqref="G10:M10"/>
    </sheetView>
  </sheetViews>
  <sheetFormatPr defaultColWidth="12.625" defaultRowHeight="15" customHeight="1"/>
  <cols>
    <col min="1" max="1" width="3.125" customWidth="1"/>
    <col min="2" max="2" width="29.5" customWidth="1"/>
    <col min="3" max="3" width="56.75" customWidth="1"/>
    <col min="4" max="4" width="12.875" customWidth="1"/>
    <col min="5" max="5" width="14" customWidth="1"/>
    <col min="6" max="6" width="10.25" customWidth="1"/>
    <col min="7" max="7" width="31.125" customWidth="1"/>
    <col min="8" max="8" width="10.375" customWidth="1"/>
    <col min="9" max="9" width="9" customWidth="1"/>
    <col min="10" max="10" width="5.875" hidden="1" customWidth="1"/>
    <col min="11" max="11" width="9.625" customWidth="1"/>
    <col min="12" max="12" width="9.875" customWidth="1"/>
    <col min="13" max="13" width="10" customWidth="1"/>
    <col min="14" max="14" width="9.625" hidden="1" customWidth="1"/>
    <col min="15" max="15" width="7.625" hidden="1" customWidth="1"/>
    <col min="16" max="16" width="9.375" hidden="1" customWidth="1"/>
  </cols>
  <sheetData>
    <row r="1" spans="1:16" ht="43.5" customHeight="1">
      <c r="A1" s="1"/>
      <c r="B1" s="2" t="s">
        <v>0</v>
      </c>
      <c r="C1" s="2" t="s">
        <v>1</v>
      </c>
      <c r="D1" s="3" t="s">
        <v>2</v>
      </c>
      <c r="E1" s="4" t="s">
        <v>3</v>
      </c>
      <c r="F1" s="5" t="s">
        <v>4</v>
      </c>
      <c r="G1" s="2" t="s">
        <v>5</v>
      </c>
      <c r="H1" s="2" t="s">
        <v>6</v>
      </c>
      <c r="I1" s="6" t="s">
        <v>7</v>
      </c>
      <c r="J1" s="7" t="s">
        <v>8</v>
      </c>
      <c r="K1" s="8" t="s">
        <v>9</v>
      </c>
      <c r="L1" s="9" t="s">
        <v>10</v>
      </c>
      <c r="M1" s="2" t="s">
        <v>11</v>
      </c>
      <c r="O1" s="10"/>
      <c r="P1" s="10"/>
    </row>
    <row r="2" spans="1:16" ht="30" customHeight="1">
      <c r="A2" s="534" t="s">
        <v>12</v>
      </c>
      <c r="B2" s="535"/>
      <c r="C2" s="535"/>
      <c r="D2" s="535"/>
      <c r="E2" s="535"/>
      <c r="F2" s="535"/>
      <c r="G2" s="535"/>
      <c r="H2" s="535"/>
      <c r="I2" s="535"/>
      <c r="J2" s="535"/>
      <c r="K2" s="535"/>
      <c r="L2" s="535"/>
      <c r="M2" s="535"/>
      <c r="O2" s="10"/>
      <c r="P2" s="10"/>
    </row>
    <row r="3" spans="1:16" ht="18.75" customHeight="1">
      <c r="A3" s="536" t="s">
        <v>13</v>
      </c>
      <c r="B3" s="535"/>
      <c r="C3" s="535"/>
      <c r="D3" s="535"/>
      <c r="E3" s="535"/>
      <c r="F3" s="535"/>
      <c r="G3" s="535"/>
      <c r="H3" s="535"/>
      <c r="I3" s="535"/>
      <c r="J3" s="535"/>
      <c r="K3" s="535"/>
      <c r="L3" s="535"/>
      <c r="M3" s="535"/>
      <c r="O3" s="10"/>
      <c r="P3" s="10"/>
    </row>
    <row r="4" spans="1:16" ht="18.75" customHeight="1">
      <c r="A4" s="536" t="s">
        <v>14</v>
      </c>
      <c r="B4" s="535"/>
      <c r="C4" s="535"/>
      <c r="D4" s="535"/>
      <c r="E4" s="535"/>
      <c r="F4" s="535"/>
      <c r="G4" s="535"/>
      <c r="H4" s="535"/>
      <c r="I4" s="535"/>
      <c r="J4" s="535"/>
      <c r="K4" s="535"/>
      <c r="L4" s="535"/>
      <c r="M4" s="535"/>
      <c r="O4" s="10"/>
      <c r="P4" s="10"/>
    </row>
    <row r="5" spans="1:16" ht="18.75" customHeight="1">
      <c r="A5" s="537" t="s">
        <v>15</v>
      </c>
      <c r="B5" s="535"/>
      <c r="C5" s="535"/>
      <c r="D5" s="535"/>
      <c r="E5" s="535"/>
      <c r="F5" s="535"/>
      <c r="G5" s="535"/>
      <c r="H5" s="535"/>
      <c r="I5" s="535"/>
      <c r="J5" s="535"/>
      <c r="K5" s="535"/>
      <c r="L5" s="535"/>
      <c r="M5" s="535"/>
      <c r="O5" s="10"/>
      <c r="P5" s="10"/>
    </row>
    <row r="6" spans="1:16" ht="18.75" customHeight="1">
      <c r="A6" s="538" t="s">
        <v>16</v>
      </c>
      <c r="B6" s="535"/>
      <c r="C6" s="535"/>
      <c r="D6" s="535"/>
      <c r="E6" s="535"/>
      <c r="F6" s="535"/>
      <c r="G6" s="535"/>
      <c r="H6" s="535"/>
      <c r="I6" s="535"/>
      <c r="J6" s="535"/>
      <c r="K6" s="535"/>
      <c r="L6" s="535"/>
      <c r="M6" s="535"/>
      <c r="O6" s="10"/>
      <c r="P6" s="10"/>
    </row>
    <row r="7" spans="1:16" ht="18.75" customHeight="1">
      <c r="A7" s="944" t="s">
        <v>17</v>
      </c>
      <c r="B7" s="941"/>
      <c r="C7" s="941"/>
      <c r="D7" s="941"/>
      <c r="E7" s="941"/>
      <c r="F7" s="941"/>
      <c r="G7" s="941"/>
      <c r="H7" s="941"/>
      <c r="I7" s="941"/>
      <c r="J7" s="941"/>
      <c r="K7" s="941"/>
      <c r="L7" s="941"/>
      <c r="M7" s="941"/>
      <c r="O7" s="10"/>
      <c r="P7" s="10"/>
    </row>
    <row r="8" spans="1:16" ht="18.75" customHeight="1">
      <c r="A8" s="536" t="s">
        <v>18</v>
      </c>
      <c r="B8" s="535"/>
      <c r="C8" s="535"/>
      <c r="D8" s="535"/>
      <c r="E8" s="535"/>
      <c r="F8" s="535"/>
      <c r="G8" s="535"/>
      <c r="H8" s="535"/>
      <c r="I8" s="535"/>
      <c r="J8" s="535"/>
      <c r="K8" s="535"/>
      <c r="L8" s="535"/>
      <c r="M8" s="535"/>
      <c r="O8" s="10"/>
      <c r="P8" s="10"/>
    </row>
    <row r="9" spans="1:16" ht="18.75" customHeight="1">
      <c r="A9" s="536" t="s">
        <v>19</v>
      </c>
      <c r="B9" s="535"/>
      <c r="C9" s="535"/>
      <c r="D9" s="535"/>
      <c r="E9" s="535"/>
      <c r="F9" s="535"/>
      <c r="G9" s="535"/>
      <c r="H9" s="535"/>
      <c r="I9" s="535"/>
      <c r="J9" s="535"/>
      <c r="K9" s="535"/>
      <c r="L9" s="535"/>
      <c r="M9" s="535"/>
    </row>
    <row r="10" spans="1:16" ht="18.75" customHeight="1">
      <c r="B10" s="11" t="s">
        <v>20</v>
      </c>
      <c r="C10" s="942"/>
      <c r="D10" s="943"/>
      <c r="E10" s="540" t="s">
        <v>21</v>
      </c>
      <c r="F10" s="539"/>
      <c r="G10" s="942"/>
      <c r="H10" s="943"/>
      <c r="I10" s="943"/>
      <c r="J10" s="943"/>
      <c r="K10" s="943"/>
      <c r="L10" s="943"/>
      <c r="M10" s="943"/>
      <c r="O10" s="12"/>
      <c r="P10" s="12"/>
    </row>
    <row r="11" spans="1:16" ht="56.25">
      <c r="A11" s="13"/>
      <c r="B11" s="14" t="s">
        <v>0</v>
      </c>
      <c r="C11" s="15" t="s">
        <v>1</v>
      </c>
      <c r="D11" s="16" t="s">
        <v>2</v>
      </c>
      <c r="E11" s="17" t="s">
        <v>3</v>
      </c>
      <c r="F11" s="18" t="s">
        <v>4</v>
      </c>
      <c r="G11" s="19" t="s">
        <v>5</v>
      </c>
      <c r="H11" s="19" t="s">
        <v>6</v>
      </c>
      <c r="I11" s="20" t="s">
        <v>7</v>
      </c>
      <c r="J11" s="21" t="s">
        <v>8</v>
      </c>
      <c r="K11" s="22" t="s">
        <v>9</v>
      </c>
      <c r="L11" s="23" t="s">
        <v>10</v>
      </c>
      <c r="M11" s="19" t="s">
        <v>11</v>
      </c>
      <c r="N11" s="24" t="s">
        <v>22</v>
      </c>
      <c r="O11" s="25" t="s">
        <v>23</v>
      </c>
      <c r="P11" s="26" t="s">
        <v>24</v>
      </c>
    </row>
    <row r="12" spans="1:16" ht="30" customHeight="1">
      <c r="A12" s="27"/>
      <c r="B12" s="541" t="s">
        <v>25</v>
      </c>
      <c r="C12" s="542"/>
      <c r="D12" s="542"/>
      <c r="E12" s="542"/>
      <c r="F12" s="542"/>
      <c r="G12" s="542"/>
      <c r="H12" s="542"/>
      <c r="I12" s="542"/>
      <c r="J12" s="542"/>
      <c r="K12" s="542"/>
      <c r="L12" s="542"/>
      <c r="M12" s="543"/>
      <c r="N12" s="28"/>
      <c r="O12" s="29"/>
      <c r="P12" s="30"/>
    </row>
    <row r="13" spans="1:16" ht="16.5" customHeight="1">
      <c r="A13" s="31">
        <v>1</v>
      </c>
      <c r="B13" s="646" t="s">
        <v>26</v>
      </c>
      <c r="C13" s="647" t="s">
        <v>27</v>
      </c>
      <c r="D13" s="648" t="s">
        <v>28</v>
      </c>
      <c r="E13" s="739"/>
      <c r="F13" s="740"/>
      <c r="G13" s="839" t="s">
        <v>29</v>
      </c>
      <c r="H13" s="36" t="s">
        <v>30</v>
      </c>
      <c r="I13" s="37">
        <v>3580</v>
      </c>
      <c r="J13" s="38">
        <f t="shared" ref="J13:J17" si="0">(K13*8%)+K13</f>
        <v>0</v>
      </c>
      <c r="K13" s="796"/>
      <c r="L13" s="39">
        <f>K13/60</f>
        <v>0</v>
      </c>
      <c r="M13" s="40">
        <f>I13*L13</f>
        <v>0</v>
      </c>
      <c r="N13" s="41">
        <v>1.94</v>
      </c>
      <c r="O13" s="42" t="e">
        <f>(K13-#REF!)/N13</f>
        <v>#REF!</v>
      </c>
      <c r="P13" s="43">
        <v>2.04</v>
      </c>
    </row>
    <row r="14" spans="1:16" ht="18" customHeight="1">
      <c r="A14" s="31"/>
      <c r="B14" s="649"/>
      <c r="C14" s="650" t="s">
        <v>31</v>
      </c>
      <c r="D14" s="651"/>
      <c r="E14" s="741"/>
      <c r="F14" s="742"/>
      <c r="G14" s="840" t="s">
        <v>32</v>
      </c>
      <c r="H14" s="46"/>
      <c r="I14" s="47"/>
      <c r="J14" s="38">
        <f t="shared" si="0"/>
        <v>0</v>
      </c>
      <c r="K14" s="797"/>
      <c r="L14" s="48" t="s">
        <v>33</v>
      </c>
      <c r="M14" s="49" t="s">
        <v>34</v>
      </c>
      <c r="N14" s="50"/>
      <c r="O14" s="51"/>
      <c r="P14" s="52"/>
    </row>
    <row r="15" spans="1:16" ht="16.5" customHeight="1">
      <c r="A15" s="31">
        <v>2</v>
      </c>
      <c r="B15" s="652" t="s">
        <v>35</v>
      </c>
      <c r="C15" s="647" t="s">
        <v>36</v>
      </c>
      <c r="D15" s="653" t="s">
        <v>37</v>
      </c>
      <c r="E15" s="743"/>
      <c r="F15" s="740"/>
      <c r="G15" s="839" t="s">
        <v>38</v>
      </c>
      <c r="H15" s="36" t="s">
        <v>39</v>
      </c>
      <c r="I15" s="37">
        <v>20</v>
      </c>
      <c r="J15" s="38">
        <f t="shared" si="0"/>
        <v>0</v>
      </c>
      <c r="K15" s="798"/>
      <c r="L15" s="39">
        <f>K15/64</f>
        <v>0</v>
      </c>
      <c r="M15" s="40">
        <f>I15*K15</f>
        <v>0</v>
      </c>
      <c r="N15" s="55">
        <v>25.03</v>
      </c>
      <c r="O15" s="42">
        <f>(K15-N15)/N15</f>
        <v>-1</v>
      </c>
      <c r="P15" s="43">
        <v>40.54</v>
      </c>
    </row>
    <row r="16" spans="1:16" ht="16.5" customHeight="1">
      <c r="A16" s="31"/>
      <c r="B16" s="654"/>
      <c r="C16" s="655" t="s">
        <v>40</v>
      </c>
      <c r="D16" s="656"/>
      <c r="E16" s="744" t="s">
        <v>41</v>
      </c>
      <c r="F16" s="742"/>
      <c r="G16" s="840" t="s">
        <v>42</v>
      </c>
      <c r="H16" s="46"/>
      <c r="I16" s="47"/>
      <c r="J16" s="38">
        <f t="shared" si="0"/>
        <v>0</v>
      </c>
      <c r="K16" s="798"/>
      <c r="L16" s="57" t="s">
        <v>43</v>
      </c>
      <c r="M16" s="58"/>
      <c r="N16" s="55"/>
      <c r="O16" s="59"/>
      <c r="P16" s="60"/>
    </row>
    <row r="17" spans="1:16" ht="16.5" customHeight="1">
      <c r="A17" s="31">
        <v>3</v>
      </c>
      <c r="B17" s="657" t="s">
        <v>44</v>
      </c>
      <c r="C17" s="658" t="s">
        <v>45</v>
      </c>
      <c r="D17" s="659" t="s">
        <v>46</v>
      </c>
      <c r="E17" s="745" t="s">
        <v>47</v>
      </c>
      <c r="F17" s="746"/>
      <c r="G17" s="839" t="s">
        <v>48</v>
      </c>
      <c r="H17" s="63" t="s">
        <v>39</v>
      </c>
      <c r="I17" s="64">
        <v>75</v>
      </c>
      <c r="J17" s="38">
        <f t="shared" si="0"/>
        <v>0</v>
      </c>
      <c r="K17" s="799"/>
      <c r="L17" s="39">
        <f t="shared" ref="L17:L18" si="1">K17/170</f>
        <v>0</v>
      </c>
      <c r="M17" s="40">
        <f>(I17*K17)</f>
        <v>0</v>
      </c>
      <c r="N17" s="65">
        <v>87.7</v>
      </c>
      <c r="O17" s="66">
        <f>(K17-N17)/N17</f>
        <v>-1</v>
      </c>
      <c r="P17" s="67">
        <v>116.95</v>
      </c>
    </row>
    <row r="18" spans="1:16" ht="16.5" customHeight="1">
      <c r="A18" s="31"/>
      <c r="B18" s="660"/>
      <c r="C18" s="661" t="s">
        <v>49</v>
      </c>
      <c r="D18" s="656"/>
      <c r="E18" s="745"/>
      <c r="F18" s="747"/>
      <c r="G18" s="841"/>
      <c r="H18" s="63"/>
      <c r="I18" s="64"/>
      <c r="J18" s="38"/>
      <c r="K18" s="800"/>
      <c r="L18" s="68">
        <f t="shared" si="1"/>
        <v>0</v>
      </c>
      <c r="M18" s="69" t="s">
        <v>50</v>
      </c>
      <c r="N18" s="70"/>
      <c r="O18" s="71"/>
      <c r="P18" s="72">
        <v>71.19</v>
      </c>
    </row>
    <row r="19" spans="1:16" ht="60.75">
      <c r="A19" s="73">
        <v>4</v>
      </c>
      <c r="B19" s="652" t="s">
        <v>51</v>
      </c>
      <c r="C19" s="662" t="s">
        <v>52</v>
      </c>
      <c r="D19" s="659" t="s">
        <v>53</v>
      </c>
      <c r="E19" s="748"/>
      <c r="F19" s="740"/>
      <c r="G19" s="842" t="s">
        <v>54</v>
      </c>
      <c r="H19" s="75" t="s">
        <v>39</v>
      </c>
      <c r="I19" s="37">
        <v>30</v>
      </c>
      <c r="J19" s="38"/>
      <c r="K19" s="798"/>
      <c r="L19" s="39">
        <f>K19/167</f>
        <v>0</v>
      </c>
      <c r="M19" s="40">
        <f>I19*K19</f>
        <v>0</v>
      </c>
      <c r="N19" s="55">
        <v>79.349999999999994</v>
      </c>
      <c r="O19" s="76"/>
      <c r="P19" s="77"/>
    </row>
    <row r="20" spans="1:16" ht="16.5" customHeight="1">
      <c r="A20" s="31"/>
      <c r="B20" s="663"/>
      <c r="C20" s="664" t="s">
        <v>55</v>
      </c>
      <c r="D20" s="659"/>
      <c r="E20" s="749"/>
      <c r="F20" s="750"/>
      <c r="G20" s="843"/>
      <c r="H20" s="63"/>
      <c r="I20" s="64"/>
      <c r="J20" s="38"/>
      <c r="K20" s="798"/>
      <c r="L20" s="79"/>
      <c r="M20" s="58"/>
      <c r="N20" s="55"/>
      <c r="O20" s="76"/>
      <c r="P20" s="52"/>
    </row>
    <row r="21" spans="1:16" ht="15.75" customHeight="1">
      <c r="A21" s="73">
        <v>5</v>
      </c>
      <c r="B21" s="652" t="s">
        <v>56</v>
      </c>
      <c r="C21" s="665" t="s">
        <v>57</v>
      </c>
      <c r="D21" s="666" t="s">
        <v>58</v>
      </c>
      <c r="E21" s="751" t="s">
        <v>47</v>
      </c>
      <c r="F21" s="740"/>
      <c r="G21" s="842" t="s">
        <v>59</v>
      </c>
      <c r="H21" s="75" t="s">
        <v>39</v>
      </c>
      <c r="I21" s="80">
        <v>20</v>
      </c>
      <c r="J21" s="38"/>
      <c r="K21" s="799"/>
      <c r="L21" s="39">
        <f>K21/96</f>
        <v>0</v>
      </c>
      <c r="M21" s="40">
        <f>I21*K21</f>
        <v>0</v>
      </c>
      <c r="N21" s="81">
        <v>91.1</v>
      </c>
      <c r="O21" s="76"/>
      <c r="P21" s="82"/>
    </row>
    <row r="22" spans="1:16" ht="16.5" customHeight="1">
      <c r="A22" s="31"/>
      <c r="B22" s="663"/>
      <c r="C22" s="664" t="s">
        <v>60</v>
      </c>
      <c r="D22" s="667"/>
      <c r="E22" s="752"/>
      <c r="F22" s="750"/>
      <c r="G22" s="843" t="s">
        <v>61</v>
      </c>
      <c r="H22" s="63"/>
      <c r="I22" s="64"/>
      <c r="J22" s="38"/>
      <c r="K22" s="800"/>
      <c r="L22" s="79"/>
      <c r="M22" s="58"/>
      <c r="N22" s="83"/>
      <c r="O22" s="76"/>
      <c r="P22" s="84"/>
    </row>
    <row r="23" spans="1:16" ht="16.5" customHeight="1">
      <c r="A23" s="73">
        <v>6</v>
      </c>
      <c r="B23" s="646" t="s">
        <v>62</v>
      </c>
      <c r="C23" s="668" t="s">
        <v>63</v>
      </c>
      <c r="D23" s="669" t="s">
        <v>64</v>
      </c>
      <c r="E23" s="748"/>
      <c r="F23" s="740"/>
      <c r="G23" s="844" t="s">
        <v>65</v>
      </c>
      <c r="H23" s="36" t="s">
        <v>39</v>
      </c>
      <c r="I23" s="37">
        <v>15</v>
      </c>
      <c r="J23" s="38">
        <f t="shared" ref="J23:J24" si="2">(K23*8%)+K23</f>
        <v>0</v>
      </c>
      <c r="K23" s="798"/>
      <c r="L23" s="39">
        <f>K23/66</f>
        <v>0</v>
      </c>
      <c r="M23" s="40">
        <f>I23*K23</f>
        <v>0</v>
      </c>
      <c r="N23" s="55">
        <v>56.03</v>
      </c>
      <c r="O23" s="42">
        <f>(K23-N23)/N23</f>
        <v>-1</v>
      </c>
      <c r="P23" s="43">
        <v>56.65</v>
      </c>
    </row>
    <row r="24" spans="1:16" ht="16.5" customHeight="1">
      <c r="A24" s="31"/>
      <c r="B24" s="649"/>
      <c r="C24" s="670" t="s">
        <v>66</v>
      </c>
      <c r="D24" s="667"/>
      <c r="E24" s="752"/>
      <c r="F24" s="742"/>
      <c r="G24" s="845" t="s">
        <v>67</v>
      </c>
      <c r="H24" s="46"/>
      <c r="I24" s="47"/>
      <c r="J24" s="88">
        <f t="shared" si="2"/>
        <v>0</v>
      </c>
      <c r="K24" s="798"/>
      <c r="L24" s="48" t="s">
        <v>43</v>
      </c>
      <c r="M24" s="89"/>
      <c r="N24" s="55"/>
      <c r="O24" s="51"/>
      <c r="P24" s="52"/>
    </row>
    <row r="25" spans="1:16" ht="16.5" customHeight="1">
      <c r="A25" s="90">
        <v>7</v>
      </c>
      <c r="B25" s="646" t="s">
        <v>68</v>
      </c>
      <c r="C25" s="671" t="s">
        <v>69</v>
      </c>
      <c r="D25" s="669" t="s">
        <v>70</v>
      </c>
      <c r="E25" s="753"/>
      <c r="F25" s="740"/>
      <c r="G25" s="846" t="s">
        <v>71</v>
      </c>
      <c r="H25" s="91" t="s">
        <v>39</v>
      </c>
      <c r="I25" s="92">
        <v>105</v>
      </c>
      <c r="J25" s="93" t="s">
        <v>72</v>
      </c>
      <c r="K25" s="801"/>
      <c r="L25" s="94">
        <f>K25/40</f>
        <v>0</v>
      </c>
      <c r="M25" s="40">
        <f>I25*K25</f>
        <v>0</v>
      </c>
      <c r="N25" s="95">
        <v>19.96</v>
      </c>
      <c r="O25" s="42"/>
      <c r="P25" s="43"/>
    </row>
    <row r="26" spans="1:16" ht="16.5" customHeight="1">
      <c r="A26" s="96"/>
      <c r="B26" s="649"/>
      <c r="C26" s="672" t="s">
        <v>73</v>
      </c>
      <c r="D26" s="673"/>
      <c r="E26" s="754"/>
      <c r="F26" s="742"/>
      <c r="G26" s="847" t="s">
        <v>74</v>
      </c>
      <c r="H26" s="97"/>
      <c r="I26" s="98"/>
      <c r="J26" s="99"/>
      <c r="K26" s="802"/>
      <c r="L26" s="100"/>
      <c r="M26" s="89"/>
      <c r="N26" s="101" t="s">
        <v>75</v>
      </c>
      <c r="O26" s="42"/>
      <c r="P26" s="43"/>
    </row>
    <row r="27" spans="1:16" ht="16.5" customHeight="1">
      <c r="A27" s="90">
        <v>8</v>
      </c>
      <c r="B27" s="657" t="s">
        <v>76</v>
      </c>
      <c r="C27" s="674" t="s">
        <v>77</v>
      </c>
      <c r="D27" s="675" t="s">
        <v>78</v>
      </c>
      <c r="E27" s="755"/>
      <c r="F27" s="750"/>
      <c r="G27" s="848" t="s">
        <v>79</v>
      </c>
      <c r="H27" s="103" t="s">
        <v>39</v>
      </c>
      <c r="I27" s="104">
        <v>105</v>
      </c>
      <c r="J27" s="105" t="s">
        <v>72</v>
      </c>
      <c r="K27" s="803"/>
      <c r="L27" s="106">
        <f>K27/48</f>
        <v>0</v>
      </c>
      <c r="M27" s="40">
        <f>I27*K27</f>
        <v>0</v>
      </c>
      <c r="N27" s="95">
        <v>19.96</v>
      </c>
      <c r="O27" s="42"/>
      <c r="P27" s="43"/>
    </row>
    <row r="28" spans="1:16" ht="16.5" customHeight="1">
      <c r="A28" s="96"/>
      <c r="B28" s="649"/>
      <c r="C28" s="672" t="s">
        <v>80</v>
      </c>
      <c r="D28" s="656"/>
      <c r="E28" s="754"/>
      <c r="F28" s="742"/>
      <c r="G28" s="847" t="s">
        <v>74</v>
      </c>
      <c r="H28" s="97"/>
      <c r="I28" s="98"/>
      <c r="J28" s="99"/>
      <c r="K28" s="802"/>
      <c r="L28" s="100"/>
      <c r="M28" s="89"/>
      <c r="N28" s="107" t="s">
        <v>75</v>
      </c>
      <c r="O28" s="42"/>
      <c r="P28" s="43"/>
    </row>
    <row r="29" spans="1:16" ht="16.5" customHeight="1">
      <c r="A29" s="31">
        <v>9</v>
      </c>
      <c r="B29" s="646" t="s">
        <v>81</v>
      </c>
      <c r="C29" s="676" t="s">
        <v>82</v>
      </c>
      <c r="D29" s="675" t="s">
        <v>83</v>
      </c>
      <c r="E29" s="748"/>
      <c r="F29" s="740"/>
      <c r="G29" s="844" t="s">
        <v>84</v>
      </c>
      <c r="H29" s="36" t="s">
        <v>39</v>
      </c>
      <c r="I29" s="37">
        <v>30</v>
      </c>
      <c r="J29" s="38">
        <f t="shared" ref="J29:J34" si="3">(K29*8%)+K29</f>
        <v>0</v>
      </c>
      <c r="K29" s="798"/>
      <c r="L29" s="39">
        <f>K29/50</f>
        <v>0</v>
      </c>
      <c r="M29" s="40">
        <f>I29*K29</f>
        <v>0</v>
      </c>
      <c r="N29" s="55">
        <v>22.38</v>
      </c>
      <c r="O29" s="42">
        <f>(K29-N29)/N29</f>
        <v>-1</v>
      </c>
      <c r="P29" s="43">
        <v>22.38</v>
      </c>
    </row>
    <row r="30" spans="1:16" ht="16.5" customHeight="1">
      <c r="A30" s="31"/>
      <c r="B30" s="649"/>
      <c r="C30" s="672" t="s">
        <v>85</v>
      </c>
      <c r="D30" s="656"/>
      <c r="E30" s="752"/>
      <c r="F30" s="742"/>
      <c r="G30" s="840" t="s">
        <v>42</v>
      </c>
      <c r="H30" s="46"/>
      <c r="I30" s="47"/>
      <c r="J30" s="38">
        <f t="shared" si="3"/>
        <v>0</v>
      </c>
      <c r="K30" s="800"/>
      <c r="L30" s="48"/>
      <c r="M30" s="89"/>
      <c r="N30" s="55"/>
      <c r="O30" s="51"/>
      <c r="P30" s="52"/>
    </row>
    <row r="31" spans="1:16" ht="16.5" customHeight="1">
      <c r="A31" s="31">
        <v>10</v>
      </c>
      <c r="B31" s="663" t="s">
        <v>86</v>
      </c>
      <c r="C31" s="676" t="s">
        <v>87</v>
      </c>
      <c r="D31" s="675" t="s">
        <v>83</v>
      </c>
      <c r="E31" s="748"/>
      <c r="F31" s="740"/>
      <c r="G31" s="844" t="s">
        <v>88</v>
      </c>
      <c r="H31" s="36" t="s">
        <v>39</v>
      </c>
      <c r="I31" s="37">
        <v>51</v>
      </c>
      <c r="J31" s="38">
        <f t="shared" si="3"/>
        <v>0</v>
      </c>
      <c r="K31" s="798"/>
      <c r="L31" s="39">
        <f>K31/50</f>
        <v>0</v>
      </c>
      <c r="M31" s="40">
        <f>I31*K31</f>
        <v>0</v>
      </c>
      <c r="N31" s="55">
        <v>22.38</v>
      </c>
      <c r="O31" s="42">
        <f>(K31-N31)/N31</f>
        <v>-1</v>
      </c>
      <c r="P31" s="43">
        <v>22.38</v>
      </c>
    </row>
    <row r="32" spans="1:16" ht="16.5" customHeight="1">
      <c r="A32" s="31"/>
      <c r="B32" s="677"/>
      <c r="C32" s="678" t="s">
        <v>89</v>
      </c>
      <c r="D32" s="659"/>
      <c r="E32" s="756"/>
      <c r="F32" s="750"/>
      <c r="G32" s="840" t="s">
        <v>42</v>
      </c>
      <c r="H32" s="113"/>
      <c r="I32" s="64"/>
      <c r="J32" s="38">
        <f t="shared" si="3"/>
        <v>0</v>
      </c>
      <c r="K32" s="800"/>
      <c r="L32" s="79"/>
      <c r="M32" s="58"/>
      <c r="N32" s="55"/>
      <c r="O32" s="51"/>
      <c r="P32" s="43"/>
    </row>
    <row r="33" spans="1:16" ht="16.5" customHeight="1">
      <c r="A33" s="31">
        <v>11</v>
      </c>
      <c r="B33" s="652" t="s">
        <v>90</v>
      </c>
      <c r="C33" s="679" t="s">
        <v>91</v>
      </c>
      <c r="D33" s="669" t="s">
        <v>92</v>
      </c>
      <c r="E33" s="748"/>
      <c r="F33" s="740"/>
      <c r="G33" s="844" t="s">
        <v>93</v>
      </c>
      <c r="H33" s="36" t="s">
        <v>39</v>
      </c>
      <c r="I33" s="37">
        <v>10</v>
      </c>
      <c r="J33" s="38">
        <f t="shared" si="3"/>
        <v>0</v>
      </c>
      <c r="K33" s="799"/>
      <c r="L33" s="39">
        <f>K33/20</f>
        <v>0</v>
      </c>
      <c r="M33" s="40">
        <f>I33*K33</f>
        <v>0</v>
      </c>
      <c r="N33" s="55">
        <v>9.48</v>
      </c>
      <c r="O33" s="42">
        <f>(K33-N33)/N33</f>
        <v>-1</v>
      </c>
      <c r="P33" s="43">
        <v>7.75</v>
      </c>
    </row>
    <row r="34" spans="1:16" ht="16.5" customHeight="1">
      <c r="A34" s="31"/>
      <c r="B34" s="680"/>
      <c r="C34" s="672" t="s">
        <v>94</v>
      </c>
      <c r="D34" s="656"/>
      <c r="E34" s="752"/>
      <c r="F34" s="742"/>
      <c r="G34" s="845" t="s">
        <v>95</v>
      </c>
      <c r="H34" s="46"/>
      <c r="I34" s="47"/>
      <c r="J34" s="38">
        <f t="shared" si="3"/>
        <v>0</v>
      </c>
      <c r="K34" s="800"/>
      <c r="L34" s="48"/>
      <c r="M34" s="89"/>
      <c r="N34" s="55"/>
      <c r="O34" s="51"/>
      <c r="P34" s="52"/>
    </row>
    <row r="35" spans="1:16" ht="16.5" customHeight="1">
      <c r="A35" s="31">
        <v>12</v>
      </c>
      <c r="B35" s="680" t="s">
        <v>96</v>
      </c>
      <c r="C35" s="672" t="s">
        <v>97</v>
      </c>
      <c r="D35" s="681" t="s">
        <v>98</v>
      </c>
      <c r="E35" s="752"/>
      <c r="F35" s="742"/>
      <c r="G35" s="845"/>
      <c r="H35" s="46" t="s">
        <v>99</v>
      </c>
      <c r="I35" s="47">
        <v>16</v>
      </c>
      <c r="J35" s="38"/>
      <c r="K35" s="800"/>
      <c r="L35" s="48">
        <f>K35/48</f>
        <v>0</v>
      </c>
      <c r="M35" s="89"/>
      <c r="N35" s="55">
        <v>6.94</v>
      </c>
      <c r="O35" s="117"/>
      <c r="P35" s="118">
        <v>0</v>
      </c>
    </row>
    <row r="36" spans="1:16" ht="16.5" customHeight="1">
      <c r="A36" s="31">
        <v>13</v>
      </c>
      <c r="B36" s="682" t="s">
        <v>100</v>
      </c>
      <c r="C36" s="683" t="s">
        <v>101</v>
      </c>
      <c r="D36" s="684" t="s">
        <v>102</v>
      </c>
      <c r="E36" s="757"/>
      <c r="F36" s="758"/>
      <c r="G36" s="849" t="s">
        <v>103</v>
      </c>
      <c r="H36" s="120" t="s">
        <v>104</v>
      </c>
      <c r="I36" s="121">
        <v>4</v>
      </c>
      <c r="J36" s="38">
        <f>(K36*8%)+K36</f>
        <v>0</v>
      </c>
      <c r="K36" s="804"/>
      <c r="L36" s="39">
        <f>K36/80</f>
        <v>0</v>
      </c>
      <c r="M36" s="122">
        <f t="shared" ref="M36:M37" si="4">I36*K36</f>
        <v>0</v>
      </c>
      <c r="N36" s="55">
        <v>14.04</v>
      </c>
      <c r="O36" s="42">
        <f>(K36-N36)/N36</f>
        <v>-1</v>
      </c>
      <c r="P36" s="43">
        <v>12.88</v>
      </c>
    </row>
    <row r="37" spans="1:16" ht="16.5" customHeight="1">
      <c r="A37" s="31">
        <v>14</v>
      </c>
      <c r="B37" s="663" t="s">
        <v>105</v>
      </c>
      <c r="C37" s="685" t="s">
        <v>106</v>
      </c>
      <c r="D37" s="686" t="s">
        <v>107</v>
      </c>
      <c r="E37" s="756" t="s">
        <v>47</v>
      </c>
      <c r="F37" s="747"/>
      <c r="G37" s="840" t="s">
        <v>108</v>
      </c>
      <c r="H37" s="113" t="s">
        <v>39</v>
      </c>
      <c r="I37" s="64">
        <v>10</v>
      </c>
      <c r="J37" s="38"/>
      <c r="K37" s="798"/>
      <c r="L37" s="39">
        <f>K37/110</f>
        <v>0</v>
      </c>
      <c r="M37" s="125">
        <f t="shared" si="4"/>
        <v>0</v>
      </c>
      <c r="N37" s="55">
        <v>77.86</v>
      </c>
      <c r="O37" s="76"/>
      <c r="P37" s="77"/>
    </row>
    <row r="38" spans="1:16" ht="16.5" customHeight="1">
      <c r="A38" s="31"/>
      <c r="B38" s="680"/>
      <c r="C38" s="672" t="s">
        <v>109</v>
      </c>
      <c r="D38" s="656"/>
      <c r="E38" s="752"/>
      <c r="F38" s="759"/>
      <c r="G38" s="845"/>
      <c r="H38" s="46"/>
      <c r="I38" s="47"/>
      <c r="J38" s="127"/>
      <c r="K38" s="800"/>
      <c r="L38" s="48"/>
      <c r="M38" s="128"/>
      <c r="N38" s="55"/>
      <c r="O38" s="76"/>
      <c r="P38" s="52"/>
    </row>
    <row r="39" spans="1:16" ht="16.5" customHeight="1">
      <c r="A39" s="31">
        <v>15</v>
      </c>
      <c r="B39" s="663" t="s">
        <v>110</v>
      </c>
      <c r="C39" s="685" t="s">
        <v>111</v>
      </c>
      <c r="D39" s="687" t="s">
        <v>112</v>
      </c>
      <c r="E39" s="756" t="s">
        <v>47</v>
      </c>
      <c r="F39" s="750"/>
      <c r="G39" s="840" t="s">
        <v>113</v>
      </c>
      <c r="H39" s="113" t="s">
        <v>39</v>
      </c>
      <c r="I39" s="64">
        <v>15</v>
      </c>
      <c r="J39" s="130">
        <f t="shared" ref="J39:J40" si="5">(K39*8%)+K39</f>
        <v>0</v>
      </c>
      <c r="K39" s="798"/>
      <c r="L39" s="79">
        <f t="shared" ref="L39:L40" si="6">K39/221</f>
        <v>0</v>
      </c>
      <c r="M39" s="40">
        <f>I39*K39</f>
        <v>0</v>
      </c>
      <c r="N39" s="55">
        <v>76.510000000000005</v>
      </c>
      <c r="O39" s="42">
        <f>(K39-N39)/N39</f>
        <v>-1</v>
      </c>
      <c r="P39" s="43">
        <v>75.09</v>
      </c>
    </row>
    <row r="40" spans="1:16" ht="16.5" customHeight="1">
      <c r="A40" s="31"/>
      <c r="B40" s="680"/>
      <c r="C40" s="672" t="s">
        <v>114</v>
      </c>
      <c r="D40" s="656"/>
      <c r="E40" s="752"/>
      <c r="F40" s="750"/>
      <c r="G40" s="850"/>
      <c r="H40" s="131"/>
      <c r="I40" s="132"/>
      <c r="J40" s="38">
        <f t="shared" si="5"/>
        <v>0</v>
      </c>
      <c r="K40" s="798"/>
      <c r="L40" s="133">
        <f t="shared" si="6"/>
        <v>0</v>
      </c>
      <c r="M40" s="89"/>
      <c r="N40" s="55"/>
      <c r="O40" s="51"/>
      <c r="P40" s="134">
        <f>P39-8.38</f>
        <v>66.710000000000008</v>
      </c>
    </row>
    <row r="41" spans="1:16" ht="16.5" customHeight="1">
      <c r="A41" s="31">
        <v>16</v>
      </c>
      <c r="B41" s="663" t="s">
        <v>115</v>
      </c>
      <c r="C41" s="685" t="s">
        <v>116</v>
      </c>
      <c r="D41" s="687" t="s">
        <v>112</v>
      </c>
      <c r="E41" s="756" t="s">
        <v>47</v>
      </c>
      <c r="F41" s="760"/>
      <c r="G41" s="840" t="s">
        <v>117</v>
      </c>
      <c r="H41" s="113" t="s">
        <v>39</v>
      </c>
      <c r="I41" s="64">
        <v>10</v>
      </c>
      <c r="J41" s="38"/>
      <c r="K41" s="799"/>
      <c r="L41" s="39">
        <f>K41/211</f>
        <v>0</v>
      </c>
      <c r="M41" s="125">
        <f>I41*K41</f>
        <v>0</v>
      </c>
      <c r="N41" s="55">
        <v>83.23</v>
      </c>
      <c r="O41" s="76"/>
      <c r="P41" s="77"/>
    </row>
    <row r="42" spans="1:16" ht="16.5" customHeight="1">
      <c r="A42" s="31"/>
      <c r="B42" s="680"/>
      <c r="C42" s="672" t="s">
        <v>118</v>
      </c>
      <c r="D42" s="681"/>
      <c r="E42" s="752"/>
      <c r="F42" s="759"/>
      <c r="G42" s="845"/>
      <c r="H42" s="46"/>
      <c r="I42" s="47"/>
      <c r="J42" s="127"/>
      <c r="K42" s="800"/>
      <c r="L42" s="57"/>
      <c r="M42" s="128"/>
      <c r="N42" s="55"/>
      <c r="O42" s="76"/>
      <c r="P42" s="52"/>
    </row>
    <row r="43" spans="1:16" ht="16.5" customHeight="1">
      <c r="A43" s="31">
        <v>17</v>
      </c>
      <c r="B43" s="652" t="s">
        <v>119</v>
      </c>
      <c r="C43" s="676" t="s">
        <v>120</v>
      </c>
      <c r="D43" s="687" t="s">
        <v>121</v>
      </c>
      <c r="E43" s="748" t="s">
        <v>47</v>
      </c>
      <c r="F43" s="740"/>
      <c r="G43" s="839" t="s">
        <v>122</v>
      </c>
      <c r="H43" s="36" t="s">
        <v>39</v>
      </c>
      <c r="I43" s="37">
        <v>16</v>
      </c>
      <c r="J43" s="38">
        <f t="shared" ref="J43:J44" si="7">(K43*8%)+K43</f>
        <v>0</v>
      </c>
      <c r="K43" s="805"/>
      <c r="L43" s="136">
        <f t="shared" ref="L43:L44" si="8">K43/480</f>
        <v>0</v>
      </c>
      <c r="M43" s="137">
        <f>I43*K43</f>
        <v>0</v>
      </c>
      <c r="N43" s="55">
        <v>53.85</v>
      </c>
      <c r="O43" s="42">
        <f>(K43-N43)/N43</f>
        <v>-1</v>
      </c>
      <c r="P43" s="43">
        <v>48.27</v>
      </c>
    </row>
    <row r="44" spans="1:16" ht="16.5" customHeight="1">
      <c r="A44" s="31"/>
      <c r="B44" s="680"/>
      <c r="C44" s="688"/>
      <c r="D44" s="659"/>
      <c r="E44" s="752"/>
      <c r="F44" s="742"/>
      <c r="G44" s="850"/>
      <c r="H44" s="131"/>
      <c r="I44" s="132"/>
      <c r="J44" s="38">
        <f t="shared" si="7"/>
        <v>0</v>
      </c>
      <c r="K44" s="805"/>
      <c r="L44" s="139">
        <f t="shared" si="8"/>
        <v>0</v>
      </c>
      <c r="M44" s="140" t="s">
        <v>123</v>
      </c>
      <c r="N44" s="55"/>
      <c r="O44" s="51"/>
      <c r="P44" s="134">
        <f>P43-13</f>
        <v>35.270000000000003</v>
      </c>
    </row>
    <row r="45" spans="1:16" ht="16.5" customHeight="1">
      <c r="A45" s="31">
        <v>18</v>
      </c>
      <c r="B45" s="663" t="s">
        <v>124</v>
      </c>
      <c r="C45" s="689" t="s">
        <v>125</v>
      </c>
      <c r="D45" s="690" t="s">
        <v>126</v>
      </c>
      <c r="E45" s="745" t="s">
        <v>47</v>
      </c>
      <c r="F45" s="747"/>
      <c r="G45" s="851" t="s">
        <v>127</v>
      </c>
      <c r="H45" s="113" t="s">
        <v>39</v>
      </c>
      <c r="I45" s="64">
        <v>10</v>
      </c>
      <c r="J45" s="38"/>
      <c r="K45" s="806"/>
      <c r="L45" s="136">
        <f>K45/240</f>
        <v>0</v>
      </c>
      <c r="M45" s="125"/>
      <c r="N45" s="55">
        <v>60.96</v>
      </c>
      <c r="O45" s="76"/>
      <c r="P45" s="52"/>
    </row>
    <row r="46" spans="1:16" ht="16.5" customHeight="1">
      <c r="A46" s="31"/>
      <c r="B46" s="663"/>
      <c r="C46" s="689" t="s">
        <v>128</v>
      </c>
      <c r="D46" s="656"/>
      <c r="E46" s="745"/>
      <c r="F46" s="747"/>
      <c r="G46" s="851"/>
      <c r="H46" s="113"/>
      <c r="I46" s="64"/>
      <c r="J46" s="38"/>
      <c r="K46" s="807"/>
      <c r="L46" s="143"/>
      <c r="M46" s="125"/>
      <c r="N46" s="55"/>
      <c r="O46" s="76"/>
      <c r="P46" s="52"/>
    </row>
    <row r="47" spans="1:16" ht="16.5" customHeight="1">
      <c r="A47" s="31">
        <v>19</v>
      </c>
      <c r="B47" s="652" t="s">
        <v>129</v>
      </c>
      <c r="C47" s="676" t="s">
        <v>130</v>
      </c>
      <c r="D47" s="687" t="s">
        <v>131</v>
      </c>
      <c r="E47" s="748" t="s">
        <v>47</v>
      </c>
      <c r="F47" s="740"/>
      <c r="G47" s="839" t="s">
        <v>132</v>
      </c>
      <c r="H47" s="36" t="s">
        <v>39</v>
      </c>
      <c r="I47" s="37">
        <v>8</v>
      </c>
      <c r="J47" s="38">
        <f t="shared" ref="J47:J49" si="9">(K47*8%)+K47</f>
        <v>0</v>
      </c>
      <c r="K47" s="805"/>
      <c r="L47" s="136">
        <f t="shared" ref="L47:L48" si="10">K47/212</f>
        <v>0</v>
      </c>
      <c r="M47" s="137">
        <f>I47*K47</f>
        <v>0</v>
      </c>
      <c r="N47" s="55">
        <v>72.84</v>
      </c>
      <c r="O47" s="42">
        <f>(K47-N47)/N47</f>
        <v>-1</v>
      </c>
      <c r="P47" s="43">
        <v>70.83</v>
      </c>
    </row>
    <row r="48" spans="1:16" ht="16.5" customHeight="1">
      <c r="A48" s="31"/>
      <c r="B48" s="680"/>
      <c r="C48" s="688"/>
      <c r="D48" s="656"/>
      <c r="E48" s="752"/>
      <c r="F48" s="742"/>
      <c r="G48" s="852"/>
      <c r="H48" s="46"/>
      <c r="I48" s="47"/>
      <c r="J48" s="38">
        <f t="shared" si="9"/>
        <v>0</v>
      </c>
      <c r="K48" s="805"/>
      <c r="L48" s="139">
        <f t="shared" si="10"/>
        <v>0</v>
      </c>
      <c r="M48" s="128"/>
      <c r="N48" s="55"/>
      <c r="O48" s="76"/>
      <c r="P48" s="134">
        <f>P47-23.4</f>
        <v>47.43</v>
      </c>
    </row>
    <row r="49" spans="1:16" ht="16.5" customHeight="1">
      <c r="A49" s="31">
        <v>20</v>
      </c>
      <c r="B49" s="652" t="s">
        <v>133</v>
      </c>
      <c r="C49" s="691" t="s">
        <v>134</v>
      </c>
      <c r="D49" s="687" t="s">
        <v>121</v>
      </c>
      <c r="E49" s="761" t="s">
        <v>47</v>
      </c>
      <c r="F49" s="762"/>
      <c r="G49" s="839" t="s">
        <v>135</v>
      </c>
      <c r="H49" s="53" t="s">
        <v>39</v>
      </c>
      <c r="I49" s="145">
        <v>10</v>
      </c>
      <c r="J49" s="38">
        <f t="shared" si="9"/>
        <v>0</v>
      </c>
      <c r="K49" s="808"/>
      <c r="L49" s="146">
        <f t="shared" ref="L49:L52" si="11">K49/480</f>
        <v>0</v>
      </c>
      <c r="M49" s="147">
        <f>I49*K49</f>
        <v>0</v>
      </c>
      <c r="N49" s="148">
        <v>60.25</v>
      </c>
      <c r="O49" s="42">
        <f>(K49-N49)/N49</f>
        <v>-1</v>
      </c>
      <c r="P49" s="149">
        <v>55.22</v>
      </c>
    </row>
    <row r="50" spans="1:16" ht="16.5" customHeight="1">
      <c r="A50" s="150"/>
      <c r="B50" s="692"/>
      <c r="C50" s="693"/>
      <c r="D50" s="656"/>
      <c r="E50" s="756"/>
      <c r="F50" s="763"/>
      <c r="G50" s="853"/>
      <c r="H50" s="151"/>
      <c r="I50" s="152"/>
      <c r="J50" s="38"/>
      <c r="K50" s="809"/>
      <c r="L50" s="153">
        <f t="shared" si="11"/>
        <v>0</v>
      </c>
      <c r="M50" s="154" t="s">
        <v>123</v>
      </c>
      <c r="N50" s="155"/>
      <c r="O50" s="51"/>
      <c r="P50" s="134">
        <f>P49-24.07</f>
        <v>31.15</v>
      </c>
    </row>
    <row r="51" spans="1:16" ht="15.75" customHeight="1">
      <c r="A51" s="31">
        <v>21</v>
      </c>
      <c r="B51" s="652" t="s">
        <v>136</v>
      </c>
      <c r="C51" s="676" t="s">
        <v>137</v>
      </c>
      <c r="D51" s="687" t="s">
        <v>121</v>
      </c>
      <c r="E51" s="748" t="s">
        <v>47</v>
      </c>
      <c r="F51" s="740"/>
      <c r="G51" s="839" t="s">
        <v>138</v>
      </c>
      <c r="H51" s="36" t="s">
        <v>39</v>
      </c>
      <c r="I51" s="37">
        <v>17</v>
      </c>
      <c r="J51" s="38">
        <f>(K51*8%)+K51</f>
        <v>0</v>
      </c>
      <c r="K51" s="805"/>
      <c r="L51" s="136">
        <f t="shared" si="11"/>
        <v>0</v>
      </c>
      <c r="M51" s="137">
        <f>I51*K51</f>
        <v>0</v>
      </c>
      <c r="N51" s="55">
        <v>59.93</v>
      </c>
      <c r="O51" s="42">
        <f>(K51-N51)/N51</f>
        <v>-1</v>
      </c>
      <c r="P51" s="43">
        <v>54.88</v>
      </c>
    </row>
    <row r="52" spans="1:16" ht="16.5" customHeight="1">
      <c r="A52" s="31"/>
      <c r="B52" s="680"/>
      <c r="C52" s="688"/>
      <c r="D52" s="656"/>
      <c r="E52" s="752"/>
      <c r="F52" s="742"/>
      <c r="G52" s="850"/>
      <c r="H52" s="131"/>
      <c r="I52" s="132"/>
      <c r="J52" s="38"/>
      <c r="K52" s="805"/>
      <c r="L52" s="156">
        <f t="shared" si="11"/>
        <v>0</v>
      </c>
      <c r="M52" s="140" t="s">
        <v>123</v>
      </c>
      <c r="N52" s="55"/>
      <c r="O52" s="51"/>
      <c r="P52" s="134">
        <f>P51-24.07</f>
        <v>30.810000000000002</v>
      </c>
    </row>
    <row r="53" spans="1:16" ht="16.5" customHeight="1">
      <c r="A53" s="31">
        <v>22</v>
      </c>
      <c r="B53" s="680" t="s">
        <v>139</v>
      </c>
      <c r="C53" s="688"/>
      <c r="D53" s="656"/>
      <c r="E53" s="752"/>
      <c r="F53" s="742"/>
      <c r="G53" s="852"/>
      <c r="H53" s="46"/>
      <c r="I53" s="47"/>
      <c r="J53" s="88"/>
      <c r="K53" s="804"/>
      <c r="L53" s="157"/>
      <c r="M53" s="89"/>
      <c r="N53" s="55"/>
      <c r="O53" s="76"/>
      <c r="P53" s="52"/>
    </row>
    <row r="54" spans="1:16" ht="16.5" customHeight="1">
      <c r="A54" s="31">
        <v>23</v>
      </c>
      <c r="B54" s="680" t="s">
        <v>140</v>
      </c>
      <c r="C54" s="688" t="s">
        <v>141</v>
      </c>
      <c r="D54" s="694" t="s">
        <v>142</v>
      </c>
      <c r="E54" s="757" t="s">
        <v>47</v>
      </c>
      <c r="F54" s="742"/>
      <c r="G54" s="852" t="s">
        <v>143</v>
      </c>
      <c r="H54" s="46" t="s">
        <v>39</v>
      </c>
      <c r="I54" s="121">
        <v>8</v>
      </c>
      <c r="J54" s="127"/>
      <c r="K54" s="810"/>
      <c r="L54" s="160"/>
      <c r="M54" s="122"/>
      <c r="N54" s="55">
        <v>58.64</v>
      </c>
      <c r="O54" s="76"/>
      <c r="P54" s="52"/>
    </row>
    <row r="55" spans="1:16" ht="16.5" customHeight="1">
      <c r="A55" s="31">
        <v>24</v>
      </c>
      <c r="B55" s="682" t="s">
        <v>144</v>
      </c>
      <c r="C55" s="683" t="s">
        <v>145</v>
      </c>
      <c r="D55" s="694" t="s">
        <v>142</v>
      </c>
      <c r="E55" s="757" t="s">
        <v>47</v>
      </c>
      <c r="F55" s="758"/>
      <c r="G55" s="854" t="s">
        <v>146</v>
      </c>
      <c r="H55" s="120" t="s">
        <v>39</v>
      </c>
      <c r="I55" s="121">
        <v>6</v>
      </c>
      <c r="J55" s="127">
        <f>(K55*8%)+K55</f>
        <v>0</v>
      </c>
      <c r="K55" s="810"/>
      <c r="L55" s="160">
        <f>K55/480</f>
        <v>0</v>
      </c>
      <c r="M55" s="122">
        <f>I55*K55</f>
        <v>0</v>
      </c>
      <c r="N55" s="55">
        <v>58.64</v>
      </c>
      <c r="O55" s="42">
        <f>(K55-N55)/N55</f>
        <v>-1</v>
      </c>
      <c r="P55" s="43">
        <v>45.71</v>
      </c>
    </row>
    <row r="56" spans="1:16" ht="16.5" customHeight="1">
      <c r="A56" s="31">
        <v>25</v>
      </c>
      <c r="B56" s="695" t="s">
        <v>147</v>
      </c>
      <c r="C56" s="683" t="s">
        <v>148</v>
      </c>
      <c r="D56" s="694" t="s">
        <v>142</v>
      </c>
      <c r="E56" s="757" t="s">
        <v>47</v>
      </c>
      <c r="F56" s="758"/>
      <c r="G56" s="854" t="s">
        <v>149</v>
      </c>
      <c r="H56" s="120" t="s">
        <v>39</v>
      </c>
      <c r="I56" s="121">
        <v>10</v>
      </c>
      <c r="J56" s="127"/>
      <c r="K56" s="810"/>
      <c r="L56" s="160"/>
      <c r="M56" s="122"/>
      <c r="N56" s="55">
        <v>59.08</v>
      </c>
      <c r="O56" s="76"/>
      <c r="P56" s="43"/>
    </row>
    <row r="57" spans="1:16" ht="16.5" customHeight="1">
      <c r="A57" s="31">
        <v>26</v>
      </c>
      <c r="B57" s="695" t="s">
        <v>150</v>
      </c>
      <c r="C57" s="683" t="s">
        <v>151</v>
      </c>
      <c r="D57" s="694" t="s">
        <v>142</v>
      </c>
      <c r="E57" s="757" t="s">
        <v>47</v>
      </c>
      <c r="F57" s="758"/>
      <c r="G57" s="854" t="s">
        <v>152</v>
      </c>
      <c r="H57" s="120" t="s">
        <v>39</v>
      </c>
      <c r="I57" s="121">
        <v>14</v>
      </c>
      <c r="J57" s="127">
        <f>(K57*8%)+K57</f>
        <v>0</v>
      </c>
      <c r="K57" s="810"/>
      <c r="L57" s="160">
        <f>K57/320</f>
        <v>0</v>
      </c>
      <c r="M57" s="122">
        <f>I57*K57</f>
        <v>0</v>
      </c>
      <c r="N57" s="55">
        <v>61.26</v>
      </c>
      <c r="O57" s="42">
        <f>(K57-N57)/N57</f>
        <v>-1</v>
      </c>
      <c r="P57" s="43">
        <v>47.36</v>
      </c>
    </row>
    <row r="58" spans="1:16" ht="16.5" customHeight="1">
      <c r="A58" s="31">
        <v>27</v>
      </c>
      <c r="B58" s="682" t="s">
        <v>153</v>
      </c>
      <c r="C58" s="683" t="s">
        <v>154</v>
      </c>
      <c r="D58" s="694" t="s">
        <v>155</v>
      </c>
      <c r="E58" s="757" t="s">
        <v>47</v>
      </c>
      <c r="F58" s="758"/>
      <c r="G58" s="854" t="s">
        <v>156</v>
      </c>
      <c r="H58" s="120" t="s">
        <v>39</v>
      </c>
      <c r="I58" s="121">
        <v>20</v>
      </c>
      <c r="J58" s="127"/>
      <c r="K58" s="810"/>
      <c r="L58" s="160"/>
      <c r="M58" s="122"/>
      <c r="N58" s="55">
        <v>51.06</v>
      </c>
      <c r="O58" s="76"/>
      <c r="P58" s="43"/>
    </row>
    <row r="59" spans="1:16" ht="15.75">
      <c r="A59" s="31">
        <v>28</v>
      </c>
      <c r="B59" s="682" t="s">
        <v>157</v>
      </c>
      <c r="C59" s="683" t="s">
        <v>158</v>
      </c>
      <c r="D59" s="694" t="s">
        <v>155</v>
      </c>
      <c r="E59" s="757" t="s">
        <v>47</v>
      </c>
      <c r="F59" s="758"/>
      <c r="G59" s="854" t="s">
        <v>159</v>
      </c>
      <c r="H59" s="120" t="s">
        <v>39</v>
      </c>
      <c r="I59" s="121">
        <v>20</v>
      </c>
      <c r="J59" s="127"/>
      <c r="K59" s="810"/>
      <c r="L59" s="160"/>
      <c r="M59" s="122"/>
      <c r="N59" s="55">
        <v>51.27</v>
      </c>
      <c r="O59" s="76"/>
      <c r="P59" s="43"/>
    </row>
    <row r="60" spans="1:16" ht="16.5" customHeight="1">
      <c r="A60" s="73">
        <v>29</v>
      </c>
      <c r="B60" s="652" t="s">
        <v>160</v>
      </c>
      <c r="C60" s="683" t="s">
        <v>161</v>
      </c>
      <c r="D60" s="696" t="s">
        <v>162</v>
      </c>
      <c r="E60" s="757" t="s">
        <v>47</v>
      </c>
      <c r="F60" s="758"/>
      <c r="G60" s="854" t="s">
        <v>163</v>
      </c>
      <c r="H60" s="120" t="s">
        <v>39</v>
      </c>
      <c r="I60" s="121">
        <v>30</v>
      </c>
      <c r="J60" s="127">
        <f>(K60*8%)+K60</f>
        <v>0</v>
      </c>
      <c r="K60" s="810"/>
      <c r="L60" s="160">
        <f>K60/168</f>
        <v>0</v>
      </c>
      <c r="M60" s="122">
        <f>I60*K60</f>
        <v>0</v>
      </c>
      <c r="N60" s="55">
        <v>37.590000000000003</v>
      </c>
      <c r="O60" s="42">
        <f>(K60-N60)/N60</f>
        <v>-1</v>
      </c>
      <c r="P60" s="43">
        <v>37.89</v>
      </c>
    </row>
    <row r="61" spans="1:16" ht="16.5" customHeight="1">
      <c r="A61" s="73">
        <v>30</v>
      </c>
      <c r="B61" s="697" t="s">
        <v>164</v>
      </c>
      <c r="C61" s="683" t="s">
        <v>165</v>
      </c>
      <c r="D61" s="696" t="s">
        <v>166</v>
      </c>
      <c r="E61" s="757" t="s">
        <v>47</v>
      </c>
      <c r="F61" s="758"/>
      <c r="G61" s="854" t="s">
        <v>167</v>
      </c>
      <c r="H61" s="120" t="s">
        <v>39</v>
      </c>
      <c r="I61" s="121">
        <v>15</v>
      </c>
      <c r="J61" s="127"/>
      <c r="K61" s="810"/>
      <c r="L61" s="160"/>
      <c r="M61" s="163"/>
      <c r="N61" s="55">
        <v>33.18</v>
      </c>
      <c r="O61" s="76"/>
      <c r="P61" s="52"/>
    </row>
    <row r="62" spans="1:16" ht="16.5" customHeight="1">
      <c r="A62" s="73">
        <v>31</v>
      </c>
      <c r="B62" s="646" t="s">
        <v>168</v>
      </c>
      <c r="C62" s="698" t="s">
        <v>169</v>
      </c>
      <c r="D62" s="699" t="s">
        <v>37</v>
      </c>
      <c r="E62" s="748" t="s">
        <v>47</v>
      </c>
      <c r="F62" s="764"/>
      <c r="G62" s="839" t="s">
        <v>170</v>
      </c>
      <c r="H62" s="36" t="s">
        <v>39</v>
      </c>
      <c r="I62" s="37">
        <v>50</v>
      </c>
      <c r="J62" s="38">
        <f>(K62*8%)+K62</f>
        <v>0</v>
      </c>
      <c r="K62" s="798"/>
      <c r="L62" s="39">
        <f t="shared" ref="L62:L63" si="12">K62/54</f>
        <v>0</v>
      </c>
      <c r="M62" s="40">
        <f>I62*K62</f>
        <v>0</v>
      </c>
      <c r="N62" s="55">
        <v>40.200000000000003</v>
      </c>
      <c r="O62" s="42">
        <f>(K62-N62)/N62</f>
        <v>-1</v>
      </c>
      <c r="P62" s="43">
        <v>40.299999999999997</v>
      </c>
    </row>
    <row r="63" spans="1:16" ht="16.5" customHeight="1">
      <c r="A63" s="31"/>
      <c r="B63" s="649"/>
      <c r="C63" s="700" t="s">
        <v>171</v>
      </c>
      <c r="D63" s="649"/>
      <c r="E63" s="752"/>
      <c r="F63" s="765"/>
      <c r="G63" s="853"/>
      <c r="H63" s="151"/>
      <c r="I63" s="152"/>
      <c r="J63" s="38"/>
      <c r="K63" s="798"/>
      <c r="L63" s="68">
        <f t="shared" si="12"/>
        <v>0</v>
      </c>
      <c r="M63" s="89"/>
      <c r="N63" s="55"/>
      <c r="O63" s="51"/>
      <c r="P63" s="134">
        <f>P62-10.26</f>
        <v>30.04</v>
      </c>
    </row>
    <row r="64" spans="1:16" ht="16.5" customHeight="1">
      <c r="A64" s="73">
        <v>32</v>
      </c>
      <c r="B64" s="646" t="s">
        <v>172</v>
      </c>
      <c r="C64" s="676" t="s">
        <v>173</v>
      </c>
      <c r="D64" s="687" t="s">
        <v>112</v>
      </c>
      <c r="E64" s="748" t="s">
        <v>47</v>
      </c>
      <c r="F64" s="740"/>
      <c r="G64" s="839" t="s">
        <v>174</v>
      </c>
      <c r="H64" s="36" t="s">
        <v>39</v>
      </c>
      <c r="I64" s="37">
        <v>10</v>
      </c>
      <c r="J64" s="38">
        <f>(K64*8%)+K64</f>
        <v>0</v>
      </c>
      <c r="K64" s="799"/>
      <c r="L64" s="39">
        <f t="shared" ref="L64:L65" si="13">K64/30</f>
        <v>0</v>
      </c>
      <c r="M64" s="40">
        <f>K64*I64</f>
        <v>0</v>
      </c>
      <c r="N64" s="55">
        <v>85.12</v>
      </c>
      <c r="O64" s="42">
        <f>(K64-N64)/N64</f>
        <v>-1</v>
      </c>
      <c r="P64" s="43">
        <v>84.79</v>
      </c>
    </row>
    <row r="65" spans="1:16" ht="16.5" customHeight="1">
      <c r="A65" s="31"/>
      <c r="B65" s="649"/>
      <c r="C65" s="688" t="s">
        <v>175</v>
      </c>
      <c r="D65" s="656"/>
      <c r="E65" s="752"/>
      <c r="F65" s="742"/>
      <c r="G65" s="850" t="s">
        <v>176</v>
      </c>
      <c r="H65" s="46"/>
      <c r="I65" s="47"/>
      <c r="J65" s="38"/>
      <c r="K65" s="800"/>
      <c r="L65" s="68">
        <f t="shared" si="13"/>
        <v>0</v>
      </c>
      <c r="M65" s="89"/>
      <c r="N65" s="55"/>
      <c r="O65" s="51"/>
      <c r="P65" s="134">
        <f>P64-33.64</f>
        <v>51.150000000000006</v>
      </c>
    </row>
    <row r="66" spans="1:16" ht="16.5" customHeight="1">
      <c r="A66" s="73">
        <v>33</v>
      </c>
      <c r="B66" s="646" t="s">
        <v>177</v>
      </c>
      <c r="C66" s="671" t="s">
        <v>178</v>
      </c>
      <c r="D66" s="687" t="s">
        <v>179</v>
      </c>
      <c r="E66" s="748"/>
      <c r="F66" s="740"/>
      <c r="G66" s="844" t="s">
        <v>180</v>
      </c>
      <c r="H66" s="75" t="s">
        <v>39</v>
      </c>
      <c r="I66" s="37">
        <v>60</v>
      </c>
      <c r="J66" s="38">
        <f t="shared" ref="J66:J68" si="14">(K66*8%)+K66</f>
        <v>0</v>
      </c>
      <c r="K66" s="798"/>
      <c r="L66" s="39">
        <f>K66:K73/72</f>
        <v>0</v>
      </c>
      <c r="M66" s="40">
        <f>I66*K66</f>
        <v>0</v>
      </c>
      <c r="N66" s="55">
        <v>28.35</v>
      </c>
      <c r="O66" s="42">
        <f>(K66-N66)/N66</f>
        <v>-1</v>
      </c>
      <c r="P66" s="43">
        <v>27.78</v>
      </c>
    </row>
    <row r="67" spans="1:16" ht="16.5" customHeight="1">
      <c r="A67" s="31"/>
      <c r="B67" s="660"/>
      <c r="C67" s="701" t="s">
        <v>181</v>
      </c>
      <c r="D67" s="659"/>
      <c r="E67" s="756"/>
      <c r="F67" s="750"/>
      <c r="G67" s="840"/>
      <c r="H67" s="63"/>
      <c r="I67" s="64"/>
      <c r="J67" s="38">
        <f t="shared" si="14"/>
        <v>0</v>
      </c>
      <c r="K67" s="798"/>
      <c r="L67" s="79"/>
      <c r="M67" s="58"/>
      <c r="N67" s="55"/>
      <c r="O67" s="51"/>
      <c r="P67" s="43"/>
    </row>
    <row r="68" spans="1:16" ht="16.5" customHeight="1">
      <c r="A68" s="73">
        <v>34</v>
      </c>
      <c r="B68" s="646" t="s">
        <v>182</v>
      </c>
      <c r="C68" s="676" t="s">
        <v>183</v>
      </c>
      <c r="D68" s="702" t="s">
        <v>184</v>
      </c>
      <c r="E68" s="748" t="s">
        <v>47</v>
      </c>
      <c r="F68" s="740"/>
      <c r="G68" s="839" t="s">
        <v>185</v>
      </c>
      <c r="H68" s="36" t="s">
        <v>39</v>
      </c>
      <c r="I68" s="37">
        <v>30</v>
      </c>
      <c r="J68" s="38">
        <f t="shared" si="14"/>
        <v>0</v>
      </c>
      <c r="K68" s="799"/>
      <c r="L68" s="39">
        <f t="shared" ref="L68:L69" si="15">K68/160</f>
        <v>0</v>
      </c>
      <c r="M68" s="40">
        <f>I68*K68</f>
        <v>0</v>
      </c>
      <c r="N68" s="55">
        <v>97.15</v>
      </c>
      <c r="O68" s="42">
        <f>(K68-N68)/N68</f>
        <v>-1</v>
      </c>
      <c r="P68" s="43">
        <v>96.74</v>
      </c>
    </row>
    <row r="69" spans="1:16" ht="16.5" customHeight="1">
      <c r="A69" s="31"/>
      <c r="B69" s="649"/>
      <c r="C69" s="688" t="s">
        <v>186</v>
      </c>
      <c r="D69" s="703"/>
      <c r="E69" s="752"/>
      <c r="F69" s="742"/>
      <c r="G69" s="853"/>
      <c r="H69" s="151"/>
      <c r="I69" s="152"/>
      <c r="J69" s="38"/>
      <c r="K69" s="800"/>
      <c r="L69" s="68">
        <f t="shared" si="15"/>
        <v>0</v>
      </c>
      <c r="M69" s="89"/>
      <c r="N69" s="55"/>
      <c r="O69" s="51"/>
      <c r="P69" s="134">
        <f>P68-41.6</f>
        <v>55.139999999999993</v>
      </c>
    </row>
    <row r="70" spans="1:16" ht="16.5" customHeight="1">
      <c r="A70" s="73">
        <v>35</v>
      </c>
      <c r="B70" s="646" t="s">
        <v>187</v>
      </c>
      <c r="C70" s="698" t="s">
        <v>188</v>
      </c>
      <c r="D70" s="690" t="s">
        <v>189</v>
      </c>
      <c r="E70" s="748" t="s">
        <v>47</v>
      </c>
      <c r="F70" s="766"/>
      <c r="G70" s="839" t="s">
        <v>190</v>
      </c>
      <c r="H70" s="36" t="s">
        <v>39</v>
      </c>
      <c r="I70" s="169">
        <v>35</v>
      </c>
      <c r="J70" s="38">
        <f>(K70*8%)+K70</f>
        <v>0</v>
      </c>
      <c r="K70" s="798"/>
      <c r="L70" s="39">
        <f t="shared" ref="L70:L75" si="16">K70/150</f>
        <v>0</v>
      </c>
      <c r="M70" s="40">
        <f>I70*K70</f>
        <v>0</v>
      </c>
      <c r="N70" s="55">
        <v>66.099999999999994</v>
      </c>
      <c r="O70" s="42">
        <f>(K70-N70)/N70</f>
        <v>-1</v>
      </c>
      <c r="P70" s="43">
        <v>59.23</v>
      </c>
    </row>
    <row r="71" spans="1:16" ht="16.5" customHeight="1">
      <c r="A71" s="31"/>
      <c r="B71" s="660"/>
      <c r="C71" s="687" t="s">
        <v>191</v>
      </c>
      <c r="D71" s="675"/>
      <c r="E71" s="756"/>
      <c r="F71" s="767"/>
      <c r="G71" s="853" t="s">
        <v>192</v>
      </c>
      <c r="H71" s="151"/>
      <c r="I71" s="152"/>
      <c r="J71" s="38"/>
      <c r="K71" s="798"/>
      <c r="L71" s="68">
        <f t="shared" si="16"/>
        <v>0</v>
      </c>
      <c r="M71" s="58"/>
      <c r="N71" s="55"/>
      <c r="O71" s="51"/>
      <c r="P71" s="134">
        <f>P70-13.78</f>
        <v>45.449999999999996</v>
      </c>
    </row>
    <row r="72" spans="1:16" ht="16.5" customHeight="1">
      <c r="A72" s="73">
        <v>36</v>
      </c>
      <c r="B72" s="646" t="s">
        <v>193</v>
      </c>
      <c r="C72" s="698" t="s">
        <v>194</v>
      </c>
      <c r="D72" s="704" t="s">
        <v>195</v>
      </c>
      <c r="E72" s="748" t="s">
        <v>47</v>
      </c>
      <c r="F72" s="764"/>
      <c r="G72" s="839" t="s">
        <v>196</v>
      </c>
      <c r="H72" s="36" t="s">
        <v>39</v>
      </c>
      <c r="I72" s="37">
        <v>30</v>
      </c>
      <c r="J72" s="38">
        <f>(K72*8%)+K72</f>
        <v>0</v>
      </c>
      <c r="K72" s="799"/>
      <c r="L72" s="39">
        <f t="shared" si="16"/>
        <v>0</v>
      </c>
      <c r="M72" s="40">
        <f>K72*I72</f>
        <v>0</v>
      </c>
      <c r="N72" s="55">
        <v>57.83</v>
      </c>
      <c r="O72" s="42">
        <f>(K72-N72)/N72</f>
        <v>-1</v>
      </c>
      <c r="P72" s="43">
        <v>58.35</v>
      </c>
    </row>
    <row r="73" spans="1:16" ht="16.5" customHeight="1">
      <c r="A73" s="31"/>
      <c r="B73" s="649"/>
      <c r="C73" s="689" t="s">
        <v>197</v>
      </c>
      <c r="D73" s="705"/>
      <c r="E73" s="756"/>
      <c r="F73" s="768"/>
      <c r="G73" s="853"/>
      <c r="H73" s="151"/>
      <c r="I73" s="152"/>
      <c r="J73" s="38"/>
      <c r="K73" s="800"/>
      <c r="L73" s="68">
        <f t="shared" si="16"/>
        <v>0</v>
      </c>
      <c r="M73" s="58"/>
      <c r="N73" s="55"/>
      <c r="O73" s="51"/>
      <c r="P73" s="134">
        <f>P72-13.78</f>
        <v>44.57</v>
      </c>
    </row>
    <row r="74" spans="1:16" ht="16.5" customHeight="1">
      <c r="A74" s="73">
        <v>37</v>
      </c>
      <c r="B74" s="646" t="s">
        <v>198</v>
      </c>
      <c r="C74" s="671" t="s">
        <v>199</v>
      </c>
      <c r="D74" s="687" t="s">
        <v>200</v>
      </c>
      <c r="E74" s="748" t="s">
        <v>47</v>
      </c>
      <c r="F74" s="740"/>
      <c r="G74" s="839" t="s">
        <v>201</v>
      </c>
      <c r="H74" s="36" t="s">
        <v>39</v>
      </c>
      <c r="I74" s="37">
        <v>30</v>
      </c>
      <c r="J74" s="38">
        <f>(K74*8%)+K74</f>
        <v>0</v>
      </c>
      <c r="K74" s="798"/>
      <c r="L74" s="39">
        <f t="shared" si="16"/>
        <v>0</v>
      </c>
      <c r="M74" s="40">
        <f>I74*K74</f>
        <v>0</v>
      </c>
      <c r="N74" s="55">
        <v>56.79</v>
      </c>
      <c r="O74" s="42">
        <f>(K74-N74)/N74</f>
        <v>-1</v>
      </c>
      <c r="P74" s="43">
        <v>58.96</v>
      </c>
    </row>
    <row r="75" spans="1:16" ht="16.5" customHeight="1">
      <c r="A75" s="31"/>
      <c r="B75" s="649"/>
      <c r="C75" s="688" t="s">
        <v>202</v>
      </c>
      <c r="D75" s="656"/>
      <c r="E75" s="752"/>
      <c r="F75" s="742"/>
      <c r="G75" s="850"/>
      <c r="H75" s="131"/>
      <c r="I75" s="132"/>
      <c r="J75" s="38"/>
      <c r="K75" s="798"/>
      <c r="L75" s="68">
        <f t="shared" si="16"/>
        <v>0</v>
      </c>
      <c r="M75" s="89"/>
      <c r="N75" s="55"/>
      <c r="O75" s="51"/>
      <c r="P75" s="134">
        <f>P74-13.77</f>
        <v>45.19</v>
      </c>
    </row>
    <row r="76" spans="1:16" ht="16.5" customHeight="1">
      <c r="A76" s="73">
        <v>38</v>
      </c>
      <c r="B76" s="657" t="s">
        <v>203</v>
      </c>
      <c r="C76" s="685" t="s">
        <v>204</v>
      </c>
      <c r="D76" s="659" t="s">
        <v>205</v>
      </c>
      <c r="E76" s="756" t="s">
        <v>47</v>
      </c>
      <c r="F76" s="750"/>
      <c r="G76" s="851" t="s">
        <v>206</v>
      </c>
      <c r="H76" s="113" t="s">
        <v>39</v>
      </c>
      <c r="I76" s="64">
        <v>45</v>
      </c>
      <c r="J76" s="130">
        <f>(K76*8%)+K76</f>
        <v>0</v>
      </c>
      <c r="K76" s="799"/>
      <c r="L76" s="79">
        <f t="shared" ref="L76:L77" si="17">K76/117</f>
        <v>0</v>
      </c>
      <c r="M76" s="58">
        <f>I76*K76</f>
        <v>0</v>
      </c>
      <c r="N76" s="55">
        <v>99.16</v>
      </c>
      <c r="O76" s="42">
        <f>(K76-N76)/N76</f>
        <v>-1</v>
      </c>
      <c r="P76" s="43">
        <v>98.86</v>
      </c>
    </row>
    <row r="77" spans="1:16" ht="16.5" customHeight="1">
      <c r="A77" s="31"/>
      <c r="B77" s="649"/>
      <c r="C77" s="688" t="s">
        <v>207</v>
      </c>
      <c r="D77" s="656"/>
      <c r="E77" s="752"/>
      <c r="F77" s="742"/>
      <c r="G77" s="853"/>
      <c r="H77" s="151"/>
      <c r="I77" s="152"/>
      <c r="J77" s="38"/>
      <c r="K77" s="800"/>
      <c r="L77" s="68">
        <f t="shared" si="17"/>
        <v>0</v>
      </c>
      <c r="M77" s="89"/>
      <c r="N77" s="55"/>
      <c r="O77" s="51"/>
      <c r="P77" s="134">
        <f>P76-30.22</f>
        <v>68.64</v>
      </c>
    </row>
    <row r="78" spans="1:16" ht="16.5" customHeight="1">
      <c r="A78" s="73">
        <v>39</v>
      </c>
      <c r="B78" s="652" t="s">
        <v>208</v>
      </c>
      <c r="C78" s="676" t="s">
        <v>209</v>
      </c>
      <c r="D78" s="687" t="s">
        <v>210</v>
      </c>
      <c r="E78" s="748" t="s">
        <v>47</v>
      </c>
      <c r="F78" s="740"/>
      <c r="G78" s="839" t="s">
        <v>211</v>
      </c>
      <c r="H78" s="36" t="s">
        <v>39</v>
      </c>
      <c r="I78" s="37">
        <v>10</v>
      </c>
      <c r="J78" s="38">
        <f>(K78*8%)+K78</f>
        <v>0</v>
      </c>
      <c r="K78" s="798"/>
      <c r="L78" s="39">
        <f t="shared" ref="L78:L79" si="18">K78/240</f>
        <v>0</v>
      </c>
      <c r="M78" s="40">
        <f>I78*K78</f>
        <v>0</v>
      </c>
      <c r="N78" s="55">
        <v>121.13</v>
      </c>
      <c r="O78" s="42">
        <f>(K78-N78)/N78</f>
        <v>-1</v>
      </c>
      <c r="P78" s="43">
        <v>117.64</v>
      </c>
    </row>
    <row r="79" spans="1:16" ht="16.5" customHeight="1">
      <c r="A79" s="31"/>
      <c r="B79" s="677"/>
      <c r="C79" s="687" t="s">
        <v>212</v>
      </c>
      <c r="D79" s="687"/>
      <c r="E79" s="756"/>
      <c r="F79" s="750"/>
      <c r="G79" s="853"/>
      <c r="H79" s="151"/>
      <c r="I79" s="152"/>
      <c r="J79" s="38"/>
      <c r="K79" s="798"/>
      <c r="L79" s="68">
        <f t="shared" si="18"/>
        <v>0</v>
      </c>
      <c r="M79" s="58"/>
      <c r="N79" s="55"/>
      <c r="O79" s="51"/>
      <c r="P79" s="134">
        <f>P78-21.09</f>
        <v>96.55</v>
      </c>
    </row>
    <row r="80" spans="1:16" ht="16.5" customHeight="1">
      <c r="A80" s="73">
        <v>40</v>
      </c>
      <c r="B80" s="652" t="s">
        <v>213</v>
      </c>
      <c r="C80" s="676" t="s">
        <v>214</v>
      </c>
      <c r="D80" s="702" t="s">
        <v>126</v>
      </c>
      <c r="E80" s="748" t="s">
        <v>47</v>
      </c>
      <c r="F80" s="760"/>
      <c r="G80" s="839" t="s">
        <v>215</v>
      </c>
      <c r="H80" s="36" t="s">
        <v>39</v>
      </c>
      <c r="I80" s="37">
        <v>20</v>
      </c>
      <c r="J80" s="38"/>
      <c r="K80" s="799"/>
      <c r="L80" s="39">
        <f>K80/192</f>
        <v>0</v>
      </c>
      <c r="M80" s="40">
        <f>I80*K80</f>
        <v>0</v>
      </c>
      <c r="N80" s="55">
        <v>139.47</v>
      </c>
      <c r="O80" s="76"/>
      <c r="P80" s="52"/>
    </row>
    <row r="81" spans="1:16" ht="16.5" customHeight="1">
      <c r="A81" s="31"/>
      <c r="B81" s="663"/>
      <c r="C81" s="678" t="s">
        <v>216</v>
      </c>
      <c r="D81" s="687"/>
      <c r="E81" s="756"/>
      <c r="F81" s="747"/>
      <c r="G81" s="851"/>
      <c r="H81" s="113"/>
      <c r="I81" s="64"/>
      <c r="J81" s="38"/>
      <c r="K81" s="800"/>
      <c r="L81" s="79"/>
      <c r="M81" s="58"/>
      <c r="N81" s="55"/>
      <c r="O81" s="76"/>
      <c r="P81" s="52"/>
    </row>
    <row r="82" spans="1:16" ht="16.5" customHeight="1">
      <c r="A82" s="73">
        <v>41</v>
      </c>
      <c r="B82" s="652" t="s">
        <v>217</v>
      </c>
      <c r="C82" s="676" t="s">
        <v>218</v>
      </c>
      <c r="D82" s="702" t="s">
        <v>219</v>
      </c>
      <c r="E82" s="748" t="s">
        <v>47</v>
      </c>
      <c r="F82" s="740"/>
      <c r="G82" s="839" t="s">
        <v>220</v>
      </c>
      <c r="H82" s="36" t="s">
        <v>39</v>
      </c>
      <c r="I82" s="37">
        <v>20</v>
      </c>
      <c r="J82" s="38">
        <f>(K82*8%)+K82</f>
        <v>0</v>
      </c>
      <c r="K82" s="798"/>
      <c r="L82" s="39">
        <f t="shared" ref="L82:L85" si="19">K82/192</f>
        <v>0</v>
      </c>
      <c r="M82" s="40">
        <f>I82*K82</f>
        <v>0</v>
      </c>
      <c r="N82" s="55">
        <v>121.43</v>
      </c>
      <c r="O82" s="42">
        <f>(K82-N82)/N82</f>
        <v>-1</v>
      </c>
      <c r="P82" s="43">
        <v>117.9</v>
      </c>
    </row>
    <row r="83" spans="1:16" ht="16.5" customHeight="1">
      <c r="A83" s="31"/>
      <c r="B83" s="677"/>
      <c r="C83" s="687" t="s">
        <v>221</v>
      </c>
      <c r="D83" s="687"/>
      <c r="E83" s="756"/>
      <c r="F83" s="750"/>
      <c r="G83" s="853"/>
      <c r="H83" s="151"/>
      <c r="I83" s="152"/>
      <c r="J83" s="38"/>
      <c r="K83" s="798"/>
      <c r="L83" s="68">
        <f t="shared" si="19"/>
        <v>0</v>
      </c>
      <c r="M83" s="58"/>
      <c r="N83" s="55"/>
      <c r="O83" s="51"/>
      <c r="P83" s="134">
        <f>P82-17.47</f>
        <v>100.43</v>
      </c>
    </row>
    <row r="84" spans="1:16" ht="16.5" customHeight="1">
      <c r="A84" s="73">
        <v>42</v>
      </c>
      <c r="B84" s="652" t="s">
        <v>222</v>
      </c>
      <c r="C84" s="676" t="s">
        <v>223</v>
      </c>
      <c r="D84" s="669" t="s">
        <v>210</v>
      </c>
      <c r="E84" s="748" t="s">
        <v>47</v>
      </c>
      <c r="F84" s="740"/>
      <c r="G84" s="839" t="s">
        <v>224</v>
      </c>
      <c r="H84" s="36" t="s">
        <v>39</v>
      </c>
      <c r="I84" s="37">
        <v>4</v>
      </c>
      <c r="J84" s="38">
        <f>(K84*8%)+K84</f>
        <v>0</v>
      </c>
      <c r="K84" s="799"/>
      <c r="L84" s="39">
        <f t="shared" si="19"/>
        <v>0</v>
      </c>
      <c r="M84" s="40">
        <f>I84*K84</f>
        <v>0</v>
      </c>
      <c r="N84" s="55">
        <v>132.13999999999999</v>
      </c>
      <c r="O84" s="42">
        <f>(K84-N84)/N84</f>
        <v>-1</v>
      </c>
      <c r="P84" s="43">
        <v>128.25</v>
      </c>
    </row>
    <row r="85" spans="1:16" ht="16.5" customHeight="1">
      <c r="A85" s="31"/>
      <c r="B85" s="654"/>
      <c r="C85" s="688" t="s">
        <v>225</v>
      </c>
      <c r="D85" s="703"/>
      <c r="E85" s="752"/>
      <c r="F85" s="742"/>
      <c r="G85" s="853"/>
      <c r="H85" s="151"/>
      <c r="I85" s="152"/>
      <c r="J85" s="38"/>
      <c r="K85" s="800"/>
      <c r="L85" s="68">
        <f t="shared" si="19"/>
        <v>0</v>
      </c>
      <c r="M85" s="89"/>
      <c r="N85" s="55"/>
      <c r="O85" s="51"/>
      <c r="P85" s="134">
        <f>P84-17.47</f>
        <v>110.78</v>
      </c>
    </row>
    <row r="86" spans="1:16" ht="15.75" customHeight="1">
      <c r="A86" s="73">
        <v>43</v>
      </c>
      <c r="B86" s="646" t="s">
        <v>226</v>
      </c>
      <c r="C86" s="676" t="s">
        <v>227</v>
      </c>
      <c r="D86" s="687" t="s">
        <v>210</v>
      </c>
      <c r="E86" s="748" t="s">
        <v>47</v>
      </c>
      <c r="F86" s="740"/>
      <c r="G86" s="839" t="s">
        <v>228</v>
      </c>
      <c r="H86" s="36" t="s">
        <v>39</v>
      </c>
      <c r="I86" s="37">
        <v>13</v>
      </c>
      <c r="J86" s="38">
        <f>(K86*8%)+K86</f>
        <v>0</v>
      </c>
      <c r="K86" s="798"/>
      <c r="L86" s="39">
        <f t="shared" ref="L86:L87" si="20">K86/176</f>
        <v>0</v>
      </c>
      <c r="M86" s="40">
        <f>I86*K86</f>
        <v>0</v>
      </c>
      <c r="N86" s="55">
        <v>129.19999999999999</v>
      </c>
      <c r="O86" s="42">
        <f>(K86-N86)/N86</f>
        <v>-1</v>
      </c>
      <c r="P86" s="43">
        <v>131.19999999999999</v>
      </c>
    </row>
    <row r="87" spans="1:16" ht="16.5" customHeight="1">
      <c r="A87" s="31"/>
      <c r="B87" s="649"/>
      <c r="C87" s="672" t="s">
        <v>229</v>
      </c>
      <c r="D87" s="681" t="s">
        <v>230</v>
      </c>
      <c r="E87" s="752"/>
      <c r="F87" s="742"/>
      <c r="G87" s="850"/>
      <c r="H87" s="131"/>
      <c r="I87" s="132"/>
      <c r="J87" s="38"/>
      <c r="K87" s="798"/>
      <c r="L87" s="68">
        <f t="shared" si="20"/>
        <v>0</v>
      </c>
      <c r="M87" s="89"/>
      <c r="N87" s="55"/>
      <c r="O87" s="51"/>
      <c r="P87" s="134">
        <f>P86-15.91</f>
        <v>115.28999999999999</v>
      </c>
    </row>
    <row r="88" spans="1:16" ht="16.5" customHeight="1">
      <c r="A88" s="73">
        <v>44</v>
      </c>
      <c r="B88" s="663" t="s">
        <v>231</v>
      </c>
      <c r="C88" s="685" t="s">
        <v>232</v>
      </c>
      <c r="D88" s="687" t="s">
        <v>233</v>
      </c>
      <c r="E88" s="756" t="s">
        <v>47</v>
      </c>
      <c r="F88" s="769"/>
      <c r="G88" s="855" t="s">
        <v>234</v>
      </c>
      <c r="H88" s="173" t="s">
        <v>39</v>
      </c>
      <c r="I88" s="64">
        <v>15</v>
      </c>
      <c r="J88" s="38">
        <f>(K88*8%)+K88</f>
        <v>0</v>
      </c>
      <c r="K88" s="799"/>
      <c r="L88" s="79">
        <f t="shared" ref="L88:L89" si="21">K88/320</f>
        <v>0</v>
      </c>
      <c r="M88" s="40">
        <f>I88*K88</f>
        <v>0</v>
      </c>
      <c r="N88" s="55">
        <v>30.05</v>
      </c>
      <c r="O88" s="42">
        <f>(K88-N88)/N88</f>
        <v>-1</v>
      </c>
      <c r="P88" s="43">
        <v>32.520000000000003</v>
      </c>
    </row>
    <row r="89" spans="1:16" ht="16.5" customHeight="1">
      <c r="A89" s="31"/>
      <c r="B89" s="677"/>
      <c r="C89" s="678" t="s">
        <v>235</v>
      </c>
      <c r="D89" s="659"/>
      <c r="E89" s="756"/>
      <c r="F89" s="769"/>
      <c r="G89" s="855" t="s">
        <v>32</v>
      </c>
      <c r="H89" s="173"/>
      <c r="I89" s="64"/>
      <c r="J89" s="38"/>
      <c r="K89" s="800"/>
      <c r="L89" s="174">
        <f t="shared" si="21"/>
        <v>0</v>
      </c>
      <c r="M89" s="58"/>
      <c r="N89" s="55"/>
      <c r="O89" s="51"/>
      <c r="P89" s="134">
        <f>P88-10.15</f>
        <v>22.370000000000005</v>
      </c>
    </row>
    <row r="90" spans="1:16" ht="16.5" customHeight="1">
      <c r="A90" s="73">
        <v>45</v>
      </c>
      <c r="B90" s="646" t="s">
        <v>236</v>
      </c>
      <c r="C90" s="676" t="s">
        <v>237</v>
      </c>
      <c r="D90" s="702" t="s">
        <v>238</v>
      </c>
      <c r="E90" s="748" t="s">
        <v>47</v>
      </c>
      <c r="F90" s="770"/>
      <c r="G90" s="856" t="s">
        <v>239</v>
      </c>
      <c r="H90" s="175" t="s">
        <v>39</v>
      </c>
      <c r="I90" s="37">
        <v>41</v>
      </c>
      <c r="J90" s="38">
        <f>(K90*8%)+K90</f>
        <v>0</v>
      </c>
      <c r="K90" s="805"/>
      <c r="L90" s="136">
        <f t="shared" ref="L90:L91" si="22">K90/160</f>
        <v>0</v>
      </c>
      <c r="M90" s="137">
        <f>I90*K90</f>
        <v>0</v>
      </c>
      <c r="N90" s="55">
        <v>50.21</v>
      </c>
      <c r="O90" s="42">
        <f>(K90-N90)/N90</f>
        <v>-1</v>
      </c>
      <c r="P90" s="43">
        <v>52.04</v>
      </c>
    </row>
    <row r="91" spans="1:16" ht="16.5" customHeight="1">
      <c r="A91" s="31"/>
      <c r="B91" s="660"/>
      <c r="C91" s="685" t="s">
        <v>240</v>
      </c>
      <c r="D91" s="667"/>
      <c r="E91" s="771"/>
      <c r="F91" s="769"/>
      <c r="G91" s="853"/>
      <c r="H91" s="151"/>
      <c r="I91" s="152"/>
      <c r="J91" s="38"/>
      <c r="K91" s="805"/>
      <c r="L91" s="139">
        <f t="shared" si="22"/>
        <v>0</v>
      </c>
      <c r="M91" s="125"/>
      <c r="N91" s="55"/>
      <c r="O91" s="51"/>
      <c r="P91" s="134">
        <f>P90-11.02</f>
        <v>41.019999999999996</v>
      </c>
    </row>
    <row r="92" spans="1:16" ht="16.5" customHeight="1">
      <c r="A92" s="31"/>
      <c r="B92" s="649"/>
      <c r="C92" s="685" t="s">
        <v>241</v>
      </c>
      <c r="D92" s="667"/>
      <c r="E92" s="772"/>
      <c r="F92" s="769"/>
      <c r="G92" s="857"/>
      <c r="H92" s="173"/>
      <c r="I92" s="64"/>
      <c r="J92" s="88">
        <f t="shared" ref="J92:J99" si="23">(K92*8%)+K92</f>
        <v>0</v>
      </c>
      <c r="K92" s="805"/>
      <c r="L92" s="177"/>
      <c r="M92" s="125"/>
      <c r="N92" s="55"/>
      <c r="O92" s="51"/>
      <c r="P92" s="52"/>
    </row>
    <row r="93" spans="1:16" ht="16.5" customHeight="1">
      <c r="A93" s="73">
        <v>46</v>
      </c>
      <c r="B93" s="652" t="s">
        <v>242</v>
      </c>
      <c r="C93" s="679" t="s">
        <v>243</v>
      </c>
      <c r="D93" s="702" t="s">
        <v>244</v>
      </c>
      <c r="E93" s="773"/>
      <c r="F93" s="770"/>
      <c r="G93" s="858" t="s">
        <v>245</v>
      </c>
      <c r="H93" s="175" t="s">
        <v>39</v>
      </c>
      <c r="I93" s="37">
        <v>20</v>
      </c>
      <c r="J93" s="38">
        <f t="shared" si="23"/>
        <v>0</v>
      </c>
      <c r="K93" s="799"/>
      <c r="L93" s="178">
        <f>K93/15</f>
        <v>0</v>
      </c>
      <c r="M93" s="40">
        <f>I93*K93</f>
        <v>0</v>
      </c>
      <c r="N93" s="55">
        <v>14.48</v>
      </c>
      <c r="O93" s="42">
        <f>(K93-N93)/N93</f>
        <v>-1</v>
      </c>
      <c r="P93" s="52">
        <v>11.22</v>
      </c>
    </row>
    <row r="94" spans="1:16" ht="15.75">
      <c r="A94" s="31"/>
      <c r="B94" s="677"/>
      <c r="C94" s="706"/>
      <c r="D94" s="707"/>
      <c r="E94" s="774"/>
      <c r="F94" s="769"/>
      <c r="G94" s="859"/>
      <c r="H94" s="173"/>
      <c r="I94" s="64"/>
      <c r="J94" s="88">
        <f t="shared" si="23"/>
        <v>0</v>
      </c>
      <c r="K94" s="798"/>
      <c r="L94" s="57" t="s">
        <v>246</v>
      </c>
      <c r="M94" s="58"/>
      <c r="N94" s="55"/>
      <c r="O94" s="51"/>
      <c r="P94" s="52"/>
    </row>
    <row r="95" spans="1:16" ht="16.5" customHeight="1">
      <c r="A95" s="90">
        <v>47</v>
      </c>
      <c r="B95" s="646" t="s">
        <v>247</v>
      </c>
      <c r="C95" s="676" t="s">
        <v>248</v>
      </c>
      <c r="D95" s="690" t="s">
        <v>249</v>
      </c>
      <c r="E95" s="753" t="s">
        <v>47</v>
      </c>
      <c r="F95" s="740"/>
      <c r="G95" s="844" t="s">
        <v>250</v>
      </c>
      <c r="H95" s="36" t="s">
        <v>39</v>
      </c>
      <c r="I95" s="37">
        <v>15</v>
      </c>
      <c r="J95" s="88">
        <f t="shared" si="23"/>
        <v>0</v>
      </c>
      <c r="K95" s="811"/>
      <c r="L95" s="136">
        <f t="shared" ref="L95:L96" si="24">K95/225</f>
        <v>0</v>
      </c>
      <c r="M95" s="40">
        <f>I95*K95</f>
        <v>0</v>
      </c>
      <c r="N95" s="55">
        <v>69.59</v>
      </c>
      <c r="O95" s="42">
        <f>(K95-N95)/N95</f>
        <v>-1</v>
      </c>
      <c r="P95" s="43">
        <v>72.34</v>
      </c>
    </row>
    <row r="96" spans="1:16" ht="16.5" customHeight="1">
      <c r="A96" s="96"/>
      <c r="B96" s="649"/>
      <c r="C96" s="688" t="s">
        <v>251</v>
      </c>
      <c r="D96" s="708"/>
      <c r="E96" s="754"/>
      <c r="F96" s="742"/>
      <c r="G96" s="850"/>
      <c r="H96" s="131"/>
      <c r="I96" s="132"/>
      <c r="J96" s="181">
        <f t="shared" si="23"/>
        <v>0</v>
      </c>
      <c r="K96" s="812"/>
      <c r="L96" s="156">
        <f t="shared" si="24"/>
        <v>0</v>
      </c>
      <c r="M96" s="89"/>
      <c r="N96" s="55"/>
      <c r="O96" s="51"/>
      <c r="P96" s="134">
        <f>P95-15.11</f>
        <v>57.230000000000004</v>
      </c>
    </row>
    <row r="97" spans="1:16" ht="16.5" customHeight="1">
      <c r="A97" s="73">
        <v>48</v>
      </c>
      <c r="B97" s="657" t="s">
        <v>252</v>
      </c>
      <c r="C97" s="709" t="s">
        <v>253</v>
      </c>
      <c r="D97" s="710" t="s">
        <v>254</v>
      </c>
      <c r="E97" s="775" t="s">
        <v>47</v>
      </c>
      <c r="F97" s="769"/>
      <c r="G97" s="857" t="s">
        <v>255</v>
      </c>
      <c r="H97" s="173" t="s">
        <v>39</v>
      </c>
      <c r="I97" s="64">
        <v>15</v>
      </c>
      <c r="J97" s="183">
        <f t="shared" si="23"/>
        <v>0</v>
      </c>
      <c r="K97" s="798"/>
      <c r="L97" s="178">
        <f t="shared" ref="L97:L98" si="25">K97/210</f>
        <v>0</v>
      </c>
      <c r="M97" s="58">
        <f>I97*K97</f>
        <v>0</v>
      </c>
      <c r="N97" s="55">
        <v>67.010000000000005</v>
      </c>
      <c r="O97" s="42">
        <f>(K97-N97)/N97</f>
        <v>-1</v>
      </c>
      <c r="P97" s="43">
        <v>69.569999999999993</v>
      </c>
    </row>
    <row r="98" spans="1:16" ht="16.5" customHeight="1">
      <c r="A98" s="31"/>
      <c r="B98" s="649"/>
      <c r="C98" s="672" t="s">
        <v>256</v>
      </c>
      <c r="D98" s="659"/>
      <c r="E98" s="776"/>
      <c r="F98" s="777"/>
      <c r="G98" s="850"/>
      <c r="H98" s="131"/>
      <c r="I98" s="132"/>
      <c r="J98" s="38">
        <f t="shared" si="23"/>
        <v>0</v>
      </c>
      <c r="K98" s="798"/>
      <c r="L98" s="133">
        <f t="shared" si="25"/>
        <v>0</v>
      </c>
      <c r="M98" s="89"/>
      <c r="N98" s="55"/>
      <c r="O98" s="51"/>
      <c r="P98" s="134">
        <f>P97-14.53</f>
        <v>55.039999999999992</v>
      </c>
    </row>
    <row r="99" spans="1:16" ht="16.5" customHeight="1">
      <c r="A99" s="73">
        <v>49</v>
      </c>
      <c r="B99" s="657" t="s">
        <v>257</v>
      </c>
      <c r="C99" s="711" t="s">
        <v>258</v>
      </c>
      <c r="D99" s="653" t="s">
        <v>259</v>
      </c>
      <c r="E99" s="745" t="s">
        <v>47</v>
      </c>
      <c r="F99" s="750"/>
      <c r="G99" s="840" t="s">
        <v>260</v>
      </c>
      <c r="H99" s="113" t="s">
        <v>39</v>
      </c>
      <c r="I99" s="64">
        <v>10</v>
      </c>
      <c r="J99" s="38">
        <f t="shared" si="23"/>
        <v>0</v>
      </c>
      <c r="K99" s="799"/>
      <c r="L99" s="39">
        <f t="shared" ref="L99:L100" si="26">K99/369</f>
        <v>0</v>
      </c>
      <c r="M99" s="58">
        <f>I99*K99</f>
        <v>0</v>
      </c>
      <c r="N99" s="55">
        <v>45.87</v>
      </c>
      <c r="O99" s="42">
        <f>(K99-N99)/N99</f>
        <v>-1</v>
      </c>
      <c r="P99" s="43">
        <v>48.03</v>
      </c>
    </row>
    <row r="100" spans="1:16" ht="16.5" customHeight="1">
      <c r="A100" s="31"/>
      <c r="B100" s="660"/>
      <c r="C100" s="689" t="s">
        <v>261</v>
      </c>
      <c r="D100" s="656"/>
      <c r="E100" s="745"/>
      <c r="F100" s="750"/>
      <c r="G100" s="853"/>
      <c r="H100" s="151"/>
      <c r="I100" s="152"/>
      <c r="J100" s="38"/>
      <c r="K100" s="800"/>
      <c r="L100" s="133">
        <f t="shared" si="26"/>
        <v>0</v>
      </c>
      <c r="M100" s="58"/>
      <c r="N100" s="55"/>
      <c r="O100" s="51"/>
      <c r="P100" s="134">
        <f>P99-15.54</f>
        <v>32.49</v>
      </c>
    </row>
    <row r="101" spans="1:16" ht="16.5" customHeight="1">
      <c r="A101" s="73">
        <v>50</v>
      </c>
      <c r="B101" s="682" t="s">
        <v>262</v>
      </c>
      <c r="C101" s="712" t="s">
        <v>263</v>
      </c>
      <c r="D101" s="656" t="s">
        <v>264</v>
      </c>
      <c r="E101" s="757" t="s">
        <v>47</v>
      </c>
      <c r="F101" s="758"/>
      <c r="G101" s="854" t="s">
        <v>265</v>
      </c>
      <c r="H101" s="120" t="s">
        <v>39</v>
      </c>
      <c r="I101" s="121">
        <v>10</v>
      </c>
      <c r="J101" s="127"/>
      <c r="K101" s="810"/>
      <c r="L101" s="160">
        <f>K101/48</f>
        <v>0</v>
      </c>
      <c r="M101" s="163">
        <f t="shared" ref="M101:M104" si="27">I101*K101</f>
        <v>0</v>
      </c>
      <c r="N101" s="55">
        <v>42.87</v>
      </c>
      <c r="O101" s="76"/>
      <c r="P101" s="52"/>
    </row>
    <row r="102" spans="1:16" ht="16.5" customHeight="1">
      <c r="A102" s="73">
        <v>51</v>
      </c>
      <c r="B102" s="682" t="s">
        <v>266</v>
      </c>
      <c r="C102" s="712" t="s">
        <v>267</v>
      </c>
      <c r="D102" s="713" t="s">
        <v>268</v>
      </c>
      <c r="E102" s="757" t="s">
        <v>47</v>
      </c>
      <c r="F102" s="758"/>
      <c r="G102" s="854" t="s">
        <v>269</v>
      </c>
      <c r="H102" s="120" t="s">
        <v>39</v>
      </c>
      <c r="I102" s="121">
        <v>10</v>
      </c>
      <c r="J102" s="127"/>
      <c r="K102" s="810"/>
      <c r="L102" s="160">
        <f>K102/72</f>
        <v>0</v>
      </c>
      <c r="M102" s="163">
        <f t="shared" si="27"/>
        <v>0</v>
      </c>
      <c r="N102" s="55">
        <v>62.42</v>
      </c>
      <c r="O102" s="76"/>
      <c r="P102" s="52"/>
    </row>
    <row r="103" spans="1:16" ht="15.75">
      <c r="A103" s="73">
        <v>52</v>
      </c>
      <c r="B103" s="682" t="s">
        <v>270</v>
      </c>
      <c r="C103" s="712" t="s">
        <v>271</v>
      </c>
      <c r="D103" s="702" t="s">
        <v>272</v>
      </c>
      <c r="E103" s="757" t="s">
        <v>47</v>
      </c>
      <c r="F103" s="758"/>
      <c r="G103" s="854" t="s">
        <v>273</v>
      </c>
      <c r="H103" s="120" t="s">
        <v>39</v>
      </c>
      <c r="I103" s="121">
        <v>20</v>
      </c>
      <c r="J103" s="38">
        <f t="shared" ref="J103:J105" si="28">(K103*8%)+K103</f>
        <v>0</v>
      </c>
      <c r="K103" s="810"/>
      <c r="L103" s="160">
        <f>K103/96</f>
        <v>0</v>
      </c>
      <c r="M103" s="163">
        <f t="shared" si="27"/>
        <v>0</v>
      </c>
      <c r="N103" s="55">
        <v>51.2</v>
      </c>
      <c r="O103" s="42">
        <f t="shared" ref="O103:O104" si="29">(K103-N103)/N103</f>
        <v>-1</v>
      </c>
      <c r="P103" s="43">
        <v>49.6</v>
      </c>
    </row>
    <row r="104" spans="1:16" ht="16.5" customHeight="1">
      <c r="A104" s="73">
        <v>53</v>
      </c>
      <c r="B104" s="663" t="s">
        <v>274</v>
      </c>
      <c r="C104" s="685" t="s">
        <v>275</v>
      </c>
      <c r="D104" s="690" t="s">
        <v>276</v>
      </c>
      <c r="E104" s="756"/>
      <c r="F104" s="769"/>
      <c r="G104" s="855" t="s">
        <v>277</v>
      </c>
      <c r="H104" s="113" t="s">
        <v>39</v>
      </c>
      <c r="I104" s="64">
        <v>25</v>
      </c>
      <c r="J104" s="38">
        <f t="shared" si="28"/>
        <v>0</v>
      </c>
      <c r="K104" s="798"/>
      <c r="L104" s="79">
        <f>K104/45</f>
        <v>0</v>
      </c>
      <c r="M104" s="186">
        <f t="shared" si="27"/>
        <v>0</v>
      </c>
      <c r="N104" s="55">
        <v>40.49</v>
      </c>
      <c r="O104" s="42">
        <f t="shared" si="29"/>
        <v>-1</v>
      </c>
      <c r="P104" s="43">
        <v>40.49</v>
      </c>
    </row>
    <row r="105" spans="1:16" ht="16.5" customHeight="1">
      <c r="A105" s="31"/>
      <c r="B105" s="677"/>
      <c r="C105" s="678" t="s">
        <v>278</v>
      </c>
      <c r="D105" s="656"/>
      <c r="E105" s="756"/>
      <c r="F105" s="769"/>
      <c r="G105" s="855"/>
      <c r="H105" s="113"/>
      <c r="I105" s="64"/>
      <c r="J105" s="38">
        <f t="shared" si="28"/>
        <v>0</v>
      </c>
      <c r="K105" s="798"/>
      <c r="L105" s="79"/>
      <c r="M105" s="187"/>
      <c r="N105" s="55"/>
      <c r="O105" s="51"/>
      <c r="P105" s="43"/>
    </row>
    <row r="106" spans="1:16" ht="16.5" customHeight="1">
      <c r="A106" s="73">
        <v>54</v>
      </c>
      <c r="B106" s="652" t="s">
        <v>279</v>
      </c>
      <c r="C106" s="714" t="s">
        <v>280</v>
      </c>
      <c r="D106" s="653" t="s">
        <v>281</v>
      </c>
      <c r="E106" s="748"/>
      <c r="F106" s="740"/>
      <c r="G106" s="844" t="s">
        <v>282</v>
      </c>
      <c r="H106" s="36" t="s">
        <v>39</v>
      </c>
      <c r="I106" s="37">
        <v>15</v>
      </c>
      <c r="J106" s="38"/>
      <c r="K106" s="799"/>
      <c r="L106" s="39">
        <f>K106/150</f>
        <v>0</v>
      </c>
      <c r="M106" s="186">
        <f>K106*I106</f>
        <v>0</v>
      </c>
      <c r="N106" s="55">
        <v>31.58</v>
      </c>
      <c r="O106" s="76"/>
      <c r="P106" s="52"/>
    </row>
    <row r="107" spans="1:16" ht="16.5" customHeight="1">
      <c r="A107" s="31"/>
      <c r="B107" s="680"/>
      <c r="C107" s="715" t="s">
        <v>283</v>
      </c>
      <c r="D107" s="686" t="s">
        <v>284</v>
      </c>
      <c r="E107" s="752"/>
      <c r="F107" s="742"/>
      <c r="G107" s="845" t="s">
        <v>285</v>
      </c>
      <c r="H107" s="46"/>
      <c r="I107" s="47"/>
      <c r="J107" s="188"/>
      <c r="K107" s="798"/>
      <c r="L107" s="57"/>
      <c r="M107" s="189"/>
      <c r="N107" s="55">
        <v>31.09</v>
      </c>
      <c r="O107" s="76"/>
      <c r="P107" s="52"/>
    </row>
    <row r="108" spans="1:16" ht="15.75">
      <c r="A108" s="73">
        <v>55</v>
      </c>
      <c r="B108" s="657" t="s">
        <v>286</v>
      </c>
      <c r="C108" s="716" t="s">
        <v>287</v>
      </c>
      <c r="D108" s="690" t="s">
        <v>288</v>
      </c>
      <c r="E108" s="756" t="s">
        <v>47</v>
      </c>
      <c r="F108" s="769"/>
      <c r="G108" s="857" t="s">
        <v>289</v>
      </c>
      <c r="H108" s="113" t="s">
        <v>39</v>
      </c>
      <c r="I108" s="64">
        <v>15</v>
      </c>
      <c r="J108" s="190">
        <f>(K108*8%)+K108</f>
        <v>0</v>
      </c>
      <c r="K108" s="811"/>
      <c r="L108" s="191">
        <f t="shared" ref="L108:L109" si="30">K108/80</f>
        <v>0</v>
      </c>
      <c r="M108" s="192">
        <f>K108*I108</f>
        <v>0</v>
      </c>
      <c r="N108" s="55">
        <v>29.43</v>
      </c>
      <c r="O108" s="42">
        <f>(K108-N108)/N108</f>
        <v>-1</v>
      </c>
      <c r="P108" s="43">
        <v>48.86</v>
      </c>
    </row>
    <row r="109" spans="1:16" ht="21" customHeight="1">
      <c r="A109" s="31"/>
      <c r="B109" s="660"/>
      <c r="C109" s="717"/>
      <c r="D109" s="659"/>
      <c r="E109" s="771"/>
      <c r="F109" s="769"/>
      <c r="G109" s="860"/>
      <c r="H109" s="151"/>
      <c r="I109" s="152"/>
      <c r="J109" s="193"/>
      <c r="K109" s="813"/>
      <c r="L109" s="194">
        <f t="shared" si="30"/>
        <v>0</v>
      </c>
      <c r="M109" s="125"/>
      <c r="N109" s="55"/>
      <c r="O109" s="51"/>
      <c r="P109" s="134">
        <f>P108-8.04</f>
        <v>40.82</v>
      </c>
    </row>
    <row r="110" spans="1:16" ht="16.5" customHeight="1">
      <c r="A110" s="31"/>
      <c r="B110" s="649"/>
      <c r="C110" s="688" t="s">
        <v>290</v>
      </c>
      <c r="D110" s="656"/>
      <c r="E110" s="776"/>
      <c r="F110" s="777"/>
      <c r="G110" s="861"/>
      <c r="H110" s="46"/>
      <c r="I110" s="47"/>
      <c r="J110" s="193">
        <f t="shared" ref="J110:J113" si="31">(K110*8%)+K110</f>
        <v>0</v>
      </c>
      <c r="K110" s="812"/>
      <c r="L110" s="195"/>
      <c r="M110" s="128"/>
      <c r="N110" s="55"/>
      <c r="O110" s="51"/>
      <c r="P110" s="52"/>
    </row>
    <row r="111" spans="1:16" ht="16.5" customHeight="1">
      <c r="A111" s="73">
        <v>56</v>
      </c>
      <c r="B111" s="646" t="s">
        <v>291</v>
      </c>
      <c r="C111" s="718" t="s">
        <v>292</v>
      </c>
      <c r="D111" s="686" t="s">
        <v>293</v>
      </c>
      <c r="E111" s="748" t="s">
        <v>47</v>
      </c>
      <c r="F111" s="770"/>
      <c r="G111" s="856" t="s">
        <v>294</v>
      </c>
      <c r="H111" s="36" t="s">
        <v>39</v>
      </c>
      <c r="I111" s="37">
        <v>50</v>
      </c>
      <c r="J111" s="38">
        <f t="shared" si="31"/>
        <v>0</v>
      </c>
      <c r="K111" s="798"/>
      <c r="L111" s="178">
        <f>K111/80</f>
        <v>0</v>
      </c>
      <c r="M111" s="186">
        <f>K111*I111</f>
        <v>0</v>
      </c>
      <c r="N111" s="55">
        <v>30.52</v>
      </c>
      <c r="O111" s="42">
        <f>(K111-N111)/N111</f>
        <v>-1</v>
      </c>
      <c r="P111" s="43">
        <v>44.06</v>
      </c>
    </row>
    <row r="112" spans="1:16" ht="19.5" customHeight="1">
      <c r="A112" s="31"/>
      <c r="B112" s="660"/>
      <c r="C112" s="717"/>
      <c r="D112" s="719"/>
      <c r="E112" s="771"/>
      <c r="F112" s="769"/>
      <c r="G112" s="860"/>
      <c r="H112" s="151"/>
      <c r="I112" s="152"/>
      <c r="J112" s="38">
        <f t="shared" si="31"/>
        <v>0</v>
      </c>
      <c r="K112" s="798"/>
      <c r="L112" s="133"/>
      <c r="M112" s="58"/>
      <c r="N112" s="55"/>
      <c r="O112" s="51"/>
      <c r="P112" s="134"/>
    </row>
    <row r="113" spans="1:16" ht="16.5" customHeight="1">
      <c r="A113" s="31"/>
      <c r="B113" s="649"/>
      <c r="C113" s="688" t="s">
        <v>295</v>
      </c>
      <c r="D113" s="673"/>
      <c r="E113" s="776"/>
      <c r="F113" s="777"/>
      <c r="G113" s="861"/>
      <c r="H113" s="46"/>
      <c r="I113" s="47"/>
      <c r="J113" s="38">
        <f t="shared" si="31"/>
        <v>0</v>
      </c>
      <c r="K113" s="798"/>
      <c r="L113" s="48"/>
      <c r="M113" s="89"/>
      <c r="N113" s="55"/>
      <c r="O113" s="51"/>
      <c r="P113" s="52"/>
    </row>
    <row r="114" spans="1:16" ht="16.5" customHeight="1">
      <c r="A114" s="90">
        <v>57</v>
      </c>
      <c r="B114" s="663" t="s">
        <v>296</v>
      </c>
      <c r="C114" s="720" t="s">
        <v>297</v>
      </c>
      <c r="D114" s="686" t="s">
        <v>298</v>
      </c>
      <c r="E114" s="771" t="s">
        <v>47</v>
      </c>
      <c r="F114" s="778"/>
      <c r="G114" s="855" t="s">
        <v>299</v>
      </c>
      <c r="H114" s="113" t="s">
        <v>39</v>
      </c>
      <c r="I114" s="64">
        <v>30</v>
      </c>
      <c r="J114" s="38"/>
      <c r="K114" s="811"/>
      <c r="L114" s="39">
        <f>K114/96</f>
        <v>0</v>
      </c>
      <c r="M114" s="186">
        <f>K114*I114</f>
        <v>0</v>
      </c>
      <c r="N114" s="55">
        <v>51.23</v>
      </c>
      <c r="O114" s="76"/>
      <c r="P114" s="52"/>
    </row>
    <row r="115" spans="1:16" ht="16.5" customHeight="1">
      <c r="A115" s="96"/>
      <c r="B115" s="680"/>
      <c r="C115" s="720" t="s">
        <v>300</v>
      </c>
      <c r="D115" s="719"/>
      <c r="E115" s="771"/>
      <c r="F115" s="778"/>
      <c r="G115" s="855"/>
      <c r="H115" s="113"/>
      <c r="I115" s="64"/>
      <c r="J115" s="38"/>
      <c r="K115" s="812"/>
      <c r="L115" s="79"/>
      <c r="M115" s="58"/>
      <c r="N115" s="55"/>
      <c r="O115" s="76"/>
      <c r="P115" s="52"/>
    </row>
    <row r="116" spans="1:16" ht="16.5" customHeight="1">
      <c r="A116" s="73">
        <v>58</v>
      </c>
      <c r="B116" s="721" t="s">
        <v>301</v>
      </c>
      <c r="C116" s="676" t="s">
        <v>302</v>
      </c>
      <c r="D116" s="704" t="s">
        <v>303</v>
      </c>
      <c r="E116" s="748"/>
      <c r="F116" s="740"/>
      <c r="G116" s="839" t="s">
        <v>304</v>
      </c>
      <c r="H116" s="36" t="s">
        <v>39</v>
      </c>
      <c r="I116" s="37">
        <v>15</v>
      </c>
      <c r="J116" s="38">
        <f t="shared" ref="J116:J120" si="32">(K116*8%)+K116</f>
        <v>0</v>
      </c>
      <c r="K116" s="798"/>
      <c r="L116" s="39">
        <f>K116/80</f>
        <v>0</v>
      </c>
      <c r="M116" s="40">
        <f>K116*I116</f>
        <v>0</v>
      </c>
      <c r="N116" s="55">
        <v>67.5</v>
      </c>
      <c r="O116" s="42">
        <f>(K116-N116)/N116</f>
        <v>-1</v>
      </c>
      <c r="P116" s="43">
        <v>65.599999999999994</v>
      </c>
    </row>
    <row r="117" spans="1:16" ht="16.5" customHeight="1">
      <c r="A117" s="31"/>
      <c r="B117" s="721"/>
      <c r="C117" s="706"/>
      <c r="D117" s="656"/>
      <c r="E117" s="756"/>
      <c r="F117" s="750"/>
      <c r="G117" s="840" t="s">
        <v>42</v>
      </c>
      <c r="H117" s="113"/>
      <c r="I117" s="64"/>
      <c r="J117" s="38">
        <f t="shared" si="32"/>
        <v>0</v>
      </c>
      <c r="K117" s="798"/>
      <c r="L117" s="79"/>
      <c r="M117" s="58"/>
      <c r="N117" s="55"/>
      <c r="O117" s="51"/>
      <c r="P117" s="43"/>
    </row>
    <row r="118" spans="1:16" ht="16.5" customHeight="1">
      <c r="A118" s="73">
        <v>59</v>
      </c>
      <c r="B118" s="652" t="s">
        <v>305</v>
      </c>
      <c r="C118" s="676" t="s">
        <v>306</v>
      </c>
      <c r="D118" s="687" t="s">
        <v>307</v>
      </c>
      <c r="E118" s="779" t="s">
        <v>47</v>
      </c>
      <c r="F118" s="770"/>
      <c r="G118" s="856" t="s">
        <v>308</v>
      </c>
      <c r="H118" s="175" t="s">
        <v>39</v>
      </c>
      <c r="I118" s="37">
        <v>20</v>
      </c>
      <c r="J118" s="38">
        <f t="shared" si="32"/>
        <v>0</v>
      </c>
      <c r="K118" s="811"/>
      <c r="L118" s="39">
        <f>K118/96</f>
        <v>0</v>
      </c>
      <c r="M118" s="40">
        <f>K118*I118</f>
        <v>0</v>
      </c>
      <c r="N118" s="55">
        <v>53.1</v>
      </c>
      <c r="O118" s="42">
        <f>(K118-N118)/N118</f>
        <v>-1</v>
      </c>
      <c r="P118" s="43">
        <v>55.99</v>
      </c>
    </row>
    <row r="119" spans="1:16" ht="16.5" customHeight="1">
      <c r="A119" s="31"/>
      <c r="B119" s="680"/>
      <c r="C119" s="672" t="s">
        <v>309</v>
      </c>
      <c r="D119" s="673"/>
      <c r="E119" s="776"/>
      <c r="F119" s="777"/>
      <c r="G119" s="861"/>
      <c r="H119" s="197"/>
      <c r="I119" s="47"/>
      <c r="J119" s="38">
        <f t="shared" si="32"/>
        <v>0</v>
      </c>
      <c r="K119" s="812"/>
      <c r="L119" s="57"/>
      <c r="M119" s="89"/>
      <c r="N119" s="55"/>
      <c r="O119" s="51"/>
      <c r="P119" s="52"/>
    </row>
    <row r="120" spans="1:16" ht="36.75">
      <c r="A120" s="73">
        <v>60</v>
      </c>
      <c r="B120" s="652" t="s">
        <v>310</v>
      </c>
      <c r="C120" s="722" t="s">
        <v>311</v>
      </c>
      <c r="D120" s="704" t="s">
        <v>312</v>
      </c>
      <c r="E120" s="780" t="s">
        <v>47</v>
      </c>
      <c r="F120" s="781"/>
      <c r="G120" s="862" t="s">
        <v>313</v>
      </c>
      <c r="H120" s="198" t="s">
        <v>39</v>
      </c>
      <c r="I120" s="145">
        <v>15</v>
      </c>
      <c r="J120" s="38">
        <f t="shared" si="32"/>
        <v>0</v>
      </c>
      <c r="K120" s="814"/>
      <c r="L120" s="146">
        <f t="shared" ref="L120:L122" si="33">K120/60</f>
        <v>0</v>
      </c>
      <c r="M120" s="147">
        <f>I120*K120</f>
        <v>0</v>
      </c>
      <c r="N120" s="148">
        <v>60.38</v>
      </c>
      <c r="O120" s="42">
        <f>(K120-N120)/N120</f>
        <v>-1</v>
      </c>
      <c r="P120" s="149">
        <v>59.7</v>
      </c>
    </row>
    <row r="121" spans="1:16" ht="16.5" customHeight="1">
      <c r="A121" s="31"/>
      <c r="B121" s="654"/>
      <c r="C121" s="688" t="s">
        <v>314</v>
      </c>
      <c r="D121" s="687" t="s">
        <v>315</v>
      </c>
      <c r="E121" s="776"/>
      <c r="F121" s="777"/>
      <c r="G121" s="863"/>
      <c r="H121" s="199"/>
      <c r="I121" s="132"/>
      <c r="J121" s="38"/>
      <c r="K121" s="805"/>
      <c r="L121" s="200">
        <f t="shared" si="33"/>
        <v>0</v>
      </c>
      <c r="M121" s="128"/>
      <c r="N121" s="55"/>
      <c r="O121" s="51"/>
      <c r="P121" s="134">
        <f>P120-12.22</f>
        <v>47.480000000000004</v>
      </c>
    </row>
    <row r="122" spans="1:16" ht="36.75">
      <c r="A122" s="73">
        <v>61</v>
      </c>
      <c r="B122" s="646" t="s">
        <v>316</v>
      </c>
      <c r="C122" s="723" t="s">
        <v>317</v>
      </c>
      <c r="D122" s="653" t="s">
        <v>318</v>
      </c>
      <c r="E122" s="779" t="s">
        <v>47</v>
      </c>
      <c r="F122" s="782"/>
      <c r="G122" s="856" t="s">
        <v>319</v>
      </c>
      <c r="H122" s="175" t="s">
        <v>39</v>
      </c>
      <c r="I122" s="37">
        <v>25</v>
      </c>
      <c r="J122" s="38">
        <f t="shared" ref="J122:J125" si="34">(K122*8%)+K122</f>
        <v>0</v>
      </c>
      <c r="K122" s="811"/>
      <c r="L122" s="178">
        <f t="shared" si="33"/>
        <v>0</v>
      </c>
      <c r="M122" s="40">
        <f>I122*K122</f>
        <v>0</v>
      </c>
      <c r="N122" s="55">
        <v>49.6</v>
      </c>
      <c r="O122" s="42">
        <f>(K122-N122)/N122</f>
        <v>-1</v>
      </c>
      <c r="P122" s="43">
        <v>45.39</v>
      </c>
    </row>
    <row r="123" spans="1:16" ht="16.5" customHeight="1">
      <c r="A123" s="31"/>
      <c r="B123" s="649"/>
      <c r="C123" s="688" t="s">
        <v>320</v>
      </c>
      <c r="D123" s="656"/>
      <c r="E123" s="771"/>
      <c r="F123" s="778"/>
      <c r="G123" s="857"/>
      <c r="H123" s="173"/>
      <c r="I123" s="64"/>
      <c r="J123" s="38">
        <f t="shared" si="34"/>
        <v>0</v>
      </c>
      <c r="K123" s="812"/>
      <c r="L123" s="79"/>
      <c r="M123" s="58"/>
      <c r="N123" s="55"/>
      <c r="O123" s="51"/>
      <c r="P123" s="43"/>
    </row>
    <row r="124" spans="1:16" ht="36">
      <c r="A124" s="73">
        <v>62</v>
      </c>
      <c r="B124" s="646" t="s">
        <v>321</v>
      </c>
      <c r="C124" s="724" t="s">
        <v>322</v>
      </c>
      <c r="D124" s="725" t="s">
        <v>323</v>
      </c>
      <c r="E124" s="779" t="s">
        <v>47</v>
      </c>
      <c r="F124" s="782"/>
      <c r="G124" s="856" t="s">
        <v>324</v>
      </c>
      <c r="H124" s="175" t="s">
        <v>39</v>
      </c>
      <c r="I124" s="37">
        <v>35</v>
      </c>
      <c r="J124" s="38">
        <f t="shared" si="34"/>
        <v>0</v>
      </c>
      <c r="K124" s="798"/>
      <c r="L124" s="39">
        <f>K124/60</f>
        <v>0</v>
      </c>
      <c r="M124" s="40">
        <f>I124*K124</f>
        <v>0</v>
      </c>
      <c r="N124" s="55">
        <v>49.6</v>
      </c>
      <c r="O124" s="42">
        <f>(K124-N124)/N124</f>
        <v>-1</v>
      </c>
      <c r="P124" s="43">
        <v>46.4</v>
      </c>
    </row>
    <row r="125" spans="1:16" ht="16.5" customHeight="1">
      <c r="A125" s="31"/>
      <c r="B125" s="649"/>
      <c r="C125" s="688" t="s">
        <v>325</v>
      </c>
      <c r="D125" s="673"/>
      <c r="E125" s="776"/>
      <c r="F125" s="783"/>
      <c r="G125" s="861"/>
      <c r="H125" s="197"/>
      <c r="I125" s="47"/>
      <c r="J125" s="88">
        <f t="shared" si="34"/>
        <v>0</v>
      </c>
      <c r="K125" s="798"/>
      <c r="L125" s="48"/>
      <c r="M125" s="89"/>
      <c r="N125" s="55"/>
      <c r="O125" s="59"/>
      <c r="P125" s="60"/>
    </row>
    <row r="126" spans="1:16" ht="36">
      <c r="A126" s="73">
        <v>63</v>
      </c>
      <c r="B126" s="646" t="s">
        <v>326</v>
      </c>
      <c r="C126" s="726" t="s">
        <v>327</v>
      </c>
      <c r="D126" s="653" t="s">
        <v>328</v>
      </c>
      <c r="E126" s="761" t="s">
        <v>47</v>
      </c>
      <c r="F126" s="784"/>
      <c r="G126" s="844" t="s">
        <v>329</v>
      </c>
      <c r="H126" s="53" t="s">
        <v>330</v>
      </c>
      <c r="I126" s="145">
        <v>30</v>
      </c>
      <c r="J126" s="38"/>
      <c r="K126" s="799"/>
      <c r="L126" s="39">
        <f>K126/64</f>
        <v>0</v>
      </c>
      <c r="M126" s="40">
        <f>I126*K126</f>
        <v>0</v>
      </c>
      <c r="N126" s="65">
        <v>57.77</v>
      </c>
      <c r="O126" s="201"/>
      <c r="P126" s="202"/>
    </row>
    <row r="127" spans="1:16" ht="16.5" customHeight="1">
      <c r="A127" s="31"/>
      <c r="B127" s="649"/>
      <c r="C127" s="727"/>
      <c r="D127" s="656"/>
      <c r="E127" s="785"/>
      <c r="F127" s="786"/>
      <c r="G127" s="845"/>
      <c r="H127" s="115"/>
      <c r="I127" s="203"/>
      <c r="J127" s="127"/>
      <c r="K127" s="798"/>
      <c r="L127" s="204"/>
      <c r="M127" s="205"/>
      <c r="N127" s="70"/>
      <c r="O127" s="206"/>
      <c r="P127" s="207"/>
    </row>
    <row r="128" spans="1:16" ht="15.75" customHeight="1">
      <c r="A128" s="73">
        <v>64</v>
      </c>
      <c r="B128" s="646" t="s">
        <v>331</v>
      </c>
      <c r="C128" s="728" t="s">
        <v>332</v>
      </c>
      <c r="D128" s="729" t="s">
        <v>307</v>
      </c>
      <c r="E128" s="780" t="s">
        <v>47</v>
      </c>
      <c r="F128" s="781"/>
      <c r="G128" s="856" t="s">
        <v>333</v>
      </c>
      <c r="H128" s="53" t="s">
        <v>39</v>
      </c>
      <c r="I128" s="145">
        <v>35</v>
      </c>
      <c r="J128" s="193">
        <f>(K128*8%)+K128</f>
        <v>0</v>
      </c>
      <c r="K128" s="811"/>
      <c r="L128" s="146">
        <f t="shared" ref="L128:L133" si="35">K128/96</f>
        <v>0</v>
      </c>
      <c r="M128" s="208">
        <f>K128*I128</f>
        <v>0</v>
      </c>
      <c r="N128" s="55">
        <v>52.32</v>
      </c>
      <c r="O128" s="209">
        <f>(K128-N128)/N128</f>
        <v>-1</v>
      </c>
      <c r="P128" s="210">
        <v>44.55</v>
      </c>
    </row>
    <row r="129" spans="1:16" ht="16.5" customHeight="1">
      <c r="A129" s="31"/>
      <c r="B129" s="649"/>
      <c r="C129" s="688" t="s">
        <v>334</v>
      </c>
      <c r="D129" s="659"/>
      <c r="E129" s="787" t="s">
        <v>335</v>
      </c>
      <c r="F129" s="788"/>
      <c r="G129" s="860"/>
      <c r="H129" s="173"/>
      <c r="I129" s="64"/>
      <c r="J129" s="193"/>
      <c r="K129" s="812"/>
      <c r="L129" s="200">
        <f t="shared" si="35"/>
        <v>0</v>
      </c>
      <c r="M129" s="211"/>
      <c r="N129" s="55"/>
      <c r="O129" s="51"/>
      <c r="P129" s="134">
        <f>P128-7.29</f>
        <v>37.26</v>
      </c>
    </row>
    <row r="130" spans="1:16" ht="15.75" customHeight="1">
      <c r="A130" s="73">
        <v>65</v>
      </c>
      <c r="B130" s="646" t="s">
        <v>336</v>
      </c>
      <c r="C130" s="730" t="s">
        <v>337</v>
      </c>
      <c r="D130" s="731" t="s">
        <v>307</v>
      </c>
      <c r="E130" s="789" t="s">
        <v>47</v>
      </c>
      <c r="F130" s="790"/>
      <c r="G130" s="856" t="s">
        <v>338</v>
      </c>
      <c r="H130" s="53" t="s">
        <v>39</v>
      </c>
      <c r="I130" s="145">
        <v>50</v>
      </c>
      <c r="J130" s="193">
        <f>(K130*8%)+K130</f>
        <v>0</v>
      </c>
      <c r="K130" s="813"/>
      <c r="L130" s="212">
        <f t="shared" si="35"/>
        <v>0</v>
      </c>
      <c r="M130" s="205">
        <f>K130*I130</f>
        <v>0</v>
      </c>
      <c r="N130" s="55">
        <v>52.32</v>
      </c>
      <c r="O130" s="42">
        <f>(K130-N130)/N130</f>
        <v>-1</v>
      </c>
      <c r="P130" s="149">
        <v>45.53</v>
      </c>
    </row>
    <row r="131" spans="1:16" ht="16.5" customHeight="1">
      <c r="A131" s="31"/>
      <c r="B131" s="649"/>
      <c r="C131" s="700" t="s">
        <v>339</v>
      </c>
      <c r="D131" s="659"/>
      <c r="E131" s="791"/>
      <c r="F131" s="783"/>
      <c r="G131" s="860"/>
      <c r="H131" s="173"/>
      <c r="I131" s="64"/>
      <c r="J131" s="193"/>
      <c r="K131" s="812"/>
      <c r="L131" s="200">
        <f t="shared" si="35"/>
        <v>0</v>
      </c>
      <c r="M131" s="89"/>
      <c r="N131" s="55"/>
      <c r="O131" s="51"/>
      <c r="P131" s="134">
        <f>P130-5.4</f>
        <v>40.130000000000003</v>
      </c>
    </row>
    <row r="132" spans="1:16" ht="15.75" customHeight="1">
      <c r="A132" s="73">
        <v>66</v>
      </c>
      <c r="B132" s="646" t="s">
        <v>340</v>
      </c>
      <c r="C132" s="728" t="s">
        <v>341</v>
      </c>
      <c r="D132" s="731" t="s">
        <v>307</v>
      </c>
      <c r="E132" s="789" t="s">
        <v>47</v>
      </c>
      <c r="F132" s="790"/>
      <c r="G132" s="856" t="s">
        <v>342</v>
      </c>
      <c r="H132" s="53" t="s">
        <v>39</v>
      </c>
      <c r="I132" s="145">
        <v>45</v>
      </c>
      <c r="J132" s="193">
        <f>(K132*8%)+K132</f>
        <v>0</v>
      </c>
      <c r="K132" s="813"/>
      <c r="L132" s="212">
        <f t="shared" si="35"/>
        <v>0</v>
      </c>
      <c r="M132" s="205">
        <f>K132*I132</f>
        <v>0</v>
      </c>
      <c r="N132" s="55">
        <v>52.32</v>
      </c>
      <c r="O132" s="42">
        <f>(K132-N132)/N132</f>
        <v>-1</v>
      </c>
      <c r="P132" s="149">
        <v>47.99</v>
      </c>
    </row>
    <row r="133" spans="1:16" ht="16.5" customHeight="1">
      <c r="A133" s="31"/>
      <c r="B133" s="649"/>
      <c r="C133" s="700" t="s">
        <v>343</v>
      </c>
      <c r="D133" s="659"/>
      <c r="E133" s="791"/>
      <c r="F133" s="783"/>
      <c r="G133" s="860"/>
      <c r="H133" s="173"/>
      <c r="I133" s="64"/>
      <c r="J133" s="193"/>
      <c r="K133" s="812"/>
      <c r="L133" s="200">
        <f t="shared" si="35"/>
        <v>0</v>
      </c>
      <c r="M133" s="89"/>
      <c r="N133" s="55"/>
      <c r="O133" s="51"/>
      <c r="P133" s="134">
        <f>P132-9.24</f>
        <v>38.75</v>
      </c>
    </row>
    <row r="134" spans="1:16" ht="15.75" customHeight="1">
      <c r="A134" s="73">
        <v>67</v>
      </c>
      <c r="B134" s="646" t="s">
        <v>344</v>
      </c>
      <c r="C134" s="728" t="s">
        <v>345</v>
      </c>
      <c r="D134" s="731" t="s">
        <v>346</v>
      </c>
      <c r="E134" s="789" t="s">
        <v>47</v>
      </c>
      <c r="F134" s="781"/>
      <c r="G134" s="856" t="s">
        <v>347</v>
      </c>
      <c r="H134" s="53" t="s">
        <v>39</v>
      </c>
      <c r="I134" s="145">
        <v>30</v>
      </c>
      <c r="J134" s="193">
        <f>(K134*8%)+K134</f>
        <v>0</v>
      </c>
      <c r="K134" s="813"/>
      <c r="L134" s="212">
        <f>K134/60</f>
        <v>0</v>
      </c>
      <c r="M134" s="214">
        <f>K134*I134</f>
        <v>0</v>
      </c>
      <c r="N134" s="55">
        <v>49.6</v>
      </c>
      <c r="O134" s="42">
        <f>(K134-N134)/N134</f>
        <v>-1</v>
      </c>
      <c r="P134" s="149">
        <v>64.819999999999993</v>
      </c>
    </row>
    <row r="135" spans="1:16" ht="16.5" customHeight="1">
      <c r="A135" s="31"/>
      <c r="B135" s="649"/>
      <c r="C135" s="700" t="s">
        <v>348</v>
      </c>
      <c r="D135" s="656"/>
      <c r="E135" s="791"/>
      <c r="F135" s="777"/>
      <c r="G135" s="860"/>
      <c r="H135" s="173"/>
      <c r="I135" s="64"/>
      <c r="J135" s="193"/>
      <c r="K135" s="812"/>
      <c r="L135" s="215"/>
      <c r="M135" s="128"/>
      <c r="N135" s="55"/>
      <c r="O135" s="51"/>
      <c r="P135" s="134">
        <f>P134-11.38</f>
        <v>53.439999999999991</v>
      </c>
    </row>
    <row r="136" spans="1:16" ht="16.5" customHeight="1">
      <c r="A136" s="73">
        <v>68</v>
      </c>
      <c r="B136" s="682" t="s">
        <v>349</v>
      </c>
      <c r="C136" s="683" t="s">
        <v>350</v>
      </c>
      <c r="D136" s="656" t="s">
        <v>351</v>
      </c>
      <c r="E136" s="757"/>
      <c r="F136" s="758"/>
      <c r="G136" s="854" t="s">
        <v>352</v>
      </c>
      <c r="H136" s="120" t="s">
        <v>39</v>
      </c>
      <c r="I136" s="121">
        <v>10</v>
      </c>
      <c r="J136" s="38">
        <f t="shared" ref="J136:J138" si="36">(K136*8%)+K136</f>
        <v>0</v>
      </c>
      <c r="K136" s="800"/>
      <c r="L136" s="195">
        <f>K136/480</f>
        <v>0</v>
      </c>
      <c r="M136" s="122">
        <f t="shared" ref="M136:M137" si="37">I136*K136</f>
        <v>0</v>
      </c>
      <c r="N136" s="216"/>
      <c r="O136" s="217" t="e">
        <f t="shared" ref="O136:O137" si="38">(K136-N136)/N136</f>
        <v>#DIV/0!</v>
      </c>
      <c r="P136" s="218">
        <v>50.3</v>
      </c>
    </row>
    <row r="137" spans="1:16" ht="16.5" customHeight="1">
      <c r="A137" s="73">
        <v>69</v>
      </c>
      <c r="B137" s="652" t="s">
        <v>353</v>
      </c>
      <c r="C137" s="676" t="s">
        <v>354</v>
      </c>
      <c r="D137" s="686" t="s">
        <v>355</v>
      </c>
      <c r="E137" s="748"/>
      <c r="F137" s="740"/>
      <c r="G137" s="839" t="s">
        <v>356</v>
      </c>
      <c r="H137" s="36" t="s">
        <v>39</v>
      </c>
      <c r="I137" s="37">
        <v>90</v>
      </c>
      <c r="J137" s="38">
        <f t="shared" si="36"/>
        <v>0</v>
      </c>
      <c r="K137" s="798"/>
      <c r="L137" s="39">
        <f>K137/96</f>
        <v>0</v>
      </c>
      <c r="M137" s="186">
        <f t="shared" si="37"/>
        <v>0</v>
      </c>
      <c r="N137" s="216">
        <v>35.56</v>
      </c>
      <c r="O137" s="217">
        <f t="shared" si="38"/>
        <v>-1</v>
      </c>
      <c r="P137" s="218">
        <v>44.69</v>
      </c>
    </row>
    <row r="138" spans="1:16" ht="16.5" customHeight="1">
      <c r="A138" s="31"/>
      <c r="B138" s="663"/>
      <c r="C138" s="685" t="s">
        <v>357</v>
      </c>
      <c r="D138" s="659"/>
      <c r="E138" s="756"/>
      <c r="F138" s="750"/>
      <c r="G138" s="851" t="s">
        <v>358</v>
      </c>
      <c r="H138" s="113"/>
      <c r="I138" s="64"/>
      <c r="J138" s="38">
        <f t="shared" si="36"/>
        <v>0</v>
      </c>
      <c r="K138" s="798"/>
      <c r="L138" s="79"/>
      <c r="M138" s="219"/>
      <c r="N138" s="216"/>
      <c r="O138" s="220"/>
      <c r="P138" s="221">
        <v>0</v>
      </c>
    </row>
    <row r="139" spans="1:16" ht="15.75" customHeight="1">
      <c r="A139" s="73">
        <v>70</v>
      </c>
      <c r="B139" s="652" t="s">
        <v>359</v>
      </c>
      <c r="C139" s="662" t="s">
        <v>360</v>
      </c>
      <c r="D139" s="653" t="s">
        <v>361</v>
      </c>
      <c r="E139" s="743"/>
      <c r="F139" s="760"/>
      <c r="G139" s="839" t="s">
        <v>362</v>
      </c>
      <c r="H139" s="36" t="s">
        <v>39</v>
      </c>
      <c r="I139" s="37">
        <v>15</v>
      </c>
      <c r="J139" s="38"/>
      <c r="K139" s="799"/>
      <c r="L139" s="39">
        <f>K139/100</f>
        <v>0</v>
      </c>
      <c r="M139" s="186">
        <f>I139*K139</f>
        <v>0</v>
      </c>
      <c r="N139" s="55">
        <v>45.89</v>
      </c>
      <c r="O139" s="76"/>
      <c r="P139" s="52"/>
    </row>
    <row r="140" spans="1:16" ht="16.5" customHeight="1">
      <c r="A140" s="31"/>
      <c r="B140" s="680"/>
      <c r="C140" s="700" t="s">
        <v>363</v>
      </c>
      <c r="D140" s="659"/>
      <c r="E140" s="744"/>
      <c r="F140" s="759"/>
      <c r="G140" s="852"/>
      <c r="H140" s="46"/>
      <c r="I140" s="47"/>
      <c r="J140" s="188"/>
      <c r="K140" s="800"/>
      <c r="L140" s="48"/>
      <c r="M140" s="89"/>
      <c r="N140" s="55"/>
      <c r="O140" s="76"/>
      <c r="P140" s="52"/>
    </row>
    <row r="141" spans="1:16" ht="15.75" customHeight="1">
      <c r="A141" s="73">
        <v>71</v>
      </c>
      <c r="B141" s="652" t="s">
        <v>364</v>
      </c>
      <c r="C141" s="732" t="s">
        <v>365</v>
      </c>
      <c r="D141" s="653" t="s">
        <v>366</v>
      </c>
      <c r="E141" s="743"/>
      <c r="F141" s="760"/>
      <c r="G141" s="839" t="s">
        <v>367</v>
      </c>
      <c r="H141" s="36" t="s">
        <v>39</v>
      </c>
      <c r="I141" s="37">
        <v>10</v>
      </c>
      <c r="J141" s="38"/>
      <c r="K141" s="798"/>
      <c r="L141" s="39">
        <f>K141/133.33</f>
        <v>0</v>
      </c>
      <c r="M141" s="186">
        <f>I141*K141</f>
        <v>0</v>
      </c>
      <c r="N141" s="55">
        <v>55.87</v>
      </c>
      <c r="O141" s="76"/>
      <c r="P141" s="52"/>
    </row>
    <row r="142" spans="1:16" ht="16.5" customHeight="1">
      <c r="A142" s="31"/>
      <c r="B142" s="680"/>
      <c r="C142" s="700" t="s">
        <v>368</v>
      </c>
      <c r="D142" s="708"/>
      <c r="E142" s="744"/>
      <c r="F142" s="759"/>
      <c r="G142" s="852"/>
      <c r="H142" s="46"/>
      <c r="I142" s="47"/>
      <c r="J142" s="188"/>
      <c r="K142" s="798"/>
      <c r="L142" s="48"/>
      <c r="M142" s="89"/>
      <c r="N142" s="55"/>
      <c r="O142" s="76"/>
      <c r="P142" s="52"/>
    </row>
    <row r="143" spans="1:16" ht="16.5" customHeight="1">
      <c r="A143" s="73">
        <v>72</v>
      </c>
      <c r="B143" s="657" t="s">
        <v>369</v>
      </c>
      <c r="C143" s="685" t="s">
        <v>370</v>
      </c>
      <c r="D143" s="659" t="s">
        <v>366</v>
      </c>
      <c r="E143" s="756"/>
      <c r="F143" s="750"/>
      <c r="G143" s="851" t="s">
        <v>371</v>
      </c>
      <c r="H143" s="113" t="s">
        <v>39</v>
      </c>
      <c r="I143" s="64">
        <v>14</v>
      </c>
      <c r="J143" s="130">
        <f t="shared" ref="J143:J174" si="39">(K143*8%)+K143</f>
        <v>0</v>
      </c>
      <c r="K143" s="799"/>
      <c r="L143" s="79">
        <f>K143/20</f>
        <v>0</v>
      </c>
      <c r="M143" s="58">
        <f>I143*K143</f>
        <v>0</v>
      </c>
      <c r="N143" s="55">
        <v>63.23</v>
      </c>
      <c r="O143" s="42">
        <f>(K143-N143)/N143</f>
        <v>-1</v>
      </c>
      <c r="P143" s="43">
        <v>56.57</v>
      </c>
    </row>
    <row r="144" spans="1:16" ht="16.5" customHeight="1">
      <c r="A144" s="31"/>
      <c r="B144" s="649"/>
      <c r="C144" s="733"/>
      <c r="D144" s="656"/>
      <c r="E144" s="752"/>
      <c r="F144" s="742"/>
      <c r="G144" s="852"/>
      <c r="H144" s="46"/>
      <c r="I144" s="47"/>
      <c r="J144" s="38">
        <f t="shared" si="39"/>
        <v>0</v>
      </c>
      <c r="K144" s="800"/>
      <c r="L144" s="48" t="s">
        <v>372</v>
      </c>
      <c r="M144" s="223"/>
      <c r="N144" s="55"/>
      <c r="O144" s="51"/>
      <c r="P144" s="52">
        <v>0</v>
      </c>
    </row>
    <row r="145" spans="1:16" ht="15.75">
      <c r="A145" s="73">
        <v>73</v>
      </c>
      <c r="B145" s="646" t="s">
        <v>373</v>
      </c>
      <c r="C145" s="685" t="s">
        <v>374</v>
      </c>
      <c r="D145" s="690" t="s">
        <v>375</v>
      </c>
      <c r="E145" s="756"/>
      <c r="F145" s="750"/>
      <c r="G145" s="851" t="s">
        <v>376</v>
      </c>
      <c r="H145" s="113" t="s">
        <v>39</v>
      </c>
      <c r="I145" s="37">
        <v>45</v>
      </c>
      <c r="J145" s="38">
        <f t="shared" si="39"/>
        <v>0</v>
      </c>
      <c r="K145" s="798"/>
      <c r="L145" s="39">
        <f>K145/160</f>
        <v>0</v>
      </c>
      <c r="M145" s="40">
        <f>I145*K145</f>
        <v>0</v>
      </c>
      <c r="N145" s="55">
        <v>21.76</v>
      </c>
      <c r="O145" s="42">
        <f>(K145-N145)/N145</f>
        <v>-1</v>
      </c>
      <c r="P145" s="43">
        <v>20.76</v>
      </c>
    </row>
    <row r="146" spans="1:16" ht="16.5" customHeight="1">
      <c r="A146" s="31"/>
      <c r="B146" s="649"/>
      <c r="C146" s="706"/>
      <c r="D146" s="656"/>
      <c r="E146" s="756"/>
      <c r="F146" s="750"/>
      <c r="G146" s="851"/>
      <c r="H146" s="113"/>
      <c r="I146" s="64"/>
      <c r="J146" s="38">
        <f t="shared" si="39"/>
        <v>0</v>
      </c>
      <c r="K146" s="798"/>
      <c r="L146" s="79"/>
      <c r="M146" s="224"/>
      <c r="N146" s="55"/>
      <c r="O146" s="51"/>
      <c r="P146" s="43">
        <v>0</v>
      </c>
    </row>
    <row r="147" spans="1:16" ht="16.5" customHeight="1">
      <c r="A147" s="73">
        <v>74</v>
      </c>
      <c r="B147" s="646" t="s">
        <v>377</v>
      </c>
      <c r="C147" s="676" t="s">
        <v>378</v>
      </c>
      <c r="D147" s="687" t="s">
        <v>375</v>
      </c>
      <c r="E147" s="748"/>
      <c r="F147" s="740"/>
      <c r="G147" s="839" t="s">
        <v>379</v>
      </c>
      <c r="H147" s="36" t="s">
        <v>39</v>
      </c>
      <c r="I147" s="37">
        <v>50</v>
      </c>
      <c r="J147" s="38">
        <f t="shared" si="39"/>
        <v>0</v>
      </c>
      <c r="K147" s="799"/>
      <c r="L147" s="39">
        <f>K147/160</f>
        <v>0</v>
      </c>
      <c r="M147" s="40">
        <f>I147*K147</f>
        <v>0</v>
      </c>
      <c r="N147" s="55">
        <v>22.41</v>
      </c>
      <c r="O147" s="42">
        <f>(K147-N147)/N147</f>
        <v>-1</v>
      </c>
      <c r="P147" s="43">
        <v>21.41</v>
      </c>
    </row>
    <row r="148" spans="1:16" ht="16.5" customHeight="1">
      <c r="A148" s="31"/>
      <c r="B148" s="649"/>
      <c r="C148" s="733"/>
      <c r="D148" s="656"/>
      <c r="E148" s="752"/>
      <c r="F148" s="742"/>
      <c r="G148" s="852"/>
      <c r="H148" s="46"/>
      <c r="I148" s="47"/>
      <c r="J148" s="38">
        <f t="shared" si="39"/>
        <v>0</v>
      </c>
      <c r="K148" s="800"/>
      <c r="L148" s="48"/>
      <c r="M148" s="223"/>
      <c r="N148" s="55"/>
      <c r="O148" s="51"/>
      <c r="P148" s="52">
        <v>0</v>
      </c>
    </row>
    <row r="149" spans="1:16" ht="16.5" customHeight="1">
      <c r="A149" s="73"/>
      <c r="B149" s="663" t="s">
        <v>380</v>
      </c>
      <c r="C149" s="685" t="s">
        <v>381</v>
      </c>
      <c r="D149" s="653"/>
      <c r="E149" s="756"/>
      <c r="F149" s="769"/>
      <c r="G149" s="851" t="s">
        <v>382</v>
      </c>
      <c r="H149" s="113"/>
      <c r="I149" s="64"/>
      <c r="J149" s="38">
        <f t="shared" si="39"/>
        <v>0</v>
      </c>
      <c r="K149" s="798"/>
      <c r="L149" s="79"/>
      <c r="M149" s="219"/>
      <c r="N149" s="55"/>
      <c r="O149" s="51"/>
      <c r="P149" s="43"/>
    </row>
    <row r="150" spans="1:16" ht="16.5" customHeight="1">
      <c r="A150" s="226">
        <v>75</v>
      </c>
      <c r="B150" s="677"/>
      <c r="C150" s="693"/>
      <c r="D150" s="710" t="s">
        <v>383</v>
      </c>
      <c r="E150" s="756"/>
      <c r="F150" s="769"/>
      <c r="G150" s="851" t="s">
        <v>384</v>
      </c>
      <c r="H150" s="113" t="s">
        <v>385</v>
      </c>
      <c r="I150" s="64">
        <v>5</v>
      </c>
      <c r="J150" s="38">
        <f t="shared" si="39"/>
        <v>0</v>
      </c>
      <c r="K150" s="798"/>
      <c r="L150" s="79">
        <f t="shared" ref="L150:L154" si="40">K150/24</f>
        <v>0</v>
      </c>
      <c r="M150" s="40">
        <f t="shared" ref="M150:M155" si="41">I150*K150</f>
        <v>0</v>
      </c>
      <c r="N150" s="55">
        <v>15.07</v>
      </c>
      <c r="O150" s="42">
        <f t="shared" ref="O150:O155" si="42">(K150-N150)/N150</f>
        <v>-1</v>
      </c>
      <c r="P150" s="43">
        <v>14.88</v>
      </c>
    </row>
    <row r="151" spans="1:16" ht="16.5" customHeight="1">
      <c r="A151" s="226">
        <v>76</v>
      </c>
      <c r="B151" s="677"/>
      <c r="C151" s="734"/>
      <c r="D151" s="710" t="s">
        <v>383</v>
      </c>
      <c r="E151" s="756"/>
      <c r="F151" s="769"/>
      <c r="G151" s="851" t="s">
        <v>386</v>
      </c>
      <c r="H151" s="113" t="s">
        <v>385</v>
      </c>
      <c r="I151" s="64">
        <v>5</v>
      </c>
      <c r="J151" s="38">
        <f t="shared" si="39"/>
        <v>0</v>
      </c>
      <c r="K151" s="798"/>
      <c r="L151" s="79">
        <f t="shared" si="40"/>
        <v>0</v>
      </c>
      <c r="M151" s="40">
        <f t="shared" si="41"/>
        <v>0</v>
      </c>
      <c r="N151" s="55">
        <v>15.07</v>
      </c>
      <c r="O151" s="42">
        <f t="shared" si="42"/>
        <v>-1</v>
      </c>
      <c r="P151" s="43">
        <v>14.88</v>
      </c>
    </row>
    <row r="152" spans="1:16" ht="16.5" customHeight="1">
      <c r="A152" s="226">
        <v>77</v>
      </c>
      <c r="B152" s="677"/>
      <c r="C152" s="734"/>
      <c r="D152" s="710" t="s">
        <v>383</v>
      </c>
      <c r="E152" s="756"/>
      <c r="F152" s="769"/>
      <c r="G152" s="851" t="s">
        <v>387</v>
      </c>
      <c r="H152" s="113" t="s">
        <v>385</v>
      </c>
      <c r="I152" s="64">
        <v>5</v>
      </c>
      <c r="J152" s="38">
        <f t="shared" si="39"/>
        <v>0</v>
      </c>
      <c r="K152" s="798"/>
      <c r="L152" s="79">
        <f t="shared" si="40"/>
        <v>0</v>
      </c>
      <c r="M152" s="40">
        <f t="shared" si="41"/>
        <v>0</v>
      </c>
      <c r="N152" s="55">
        <v>15.07</v>
      </c>
      <c r="O152" s="42">
        <f t="shared" si="42"/>
        <v>-1</v>
      </c>
      <c r="P152" s="43">
        <v>14.88</v>
      </c>
    </row>
    <row r="153" spans="1:16" ht="16.5" customHeight="1">
      <c r="A153" s="226">
        <v>78</v>
      </c>
      <c r="B153" s="677"/>
      <c r="C153" s="734"/>
      <c r="D153" s="710" t="s">
        <v>383</v>
      </c>
      <c r="E153" s="756"/>
      <c r="F153" s="769"/>
      <c r="G153" s="851" t="s">
        <v>388</v>
      </c>
      <c r="H153" s="113" t="s">
        <v>385</v>
      </c>
      <c r="I153" s="64">
        <v>5</v>
      </c>
      <c r="J153" s="38">
        <f t="shared" si="39"/>
        <v>0</v>
      </c>
      <c r="K153" s="798"/>
      <c r="L153" s="79">
        <f t="shared" si="40"/>
        <v>0</v>
      </c>
      <c r="M153" s="40">
        <f t="shared" si="41"/>
        <v>0</v>
      </c>
      <c r="N153" s="55">
        <v>15.07</v>
      </c>
      <c r="O153" s="42">
        <f t="shared" si="42"/>
        <v>-1</v>
      </c>
      <c r="P153" s="43">
        <v>14.88</v>
      </c>
    </row>
    <row r="154" spans="1:16" ht="15.75">
      <c r="A154" s="226">
        <v>79</v>
      </c>
      <c r="B154" s="677"/>
      <c r="C154" s="734"/>
      <c r="D154" s="710" t="s">
        <v>383</v>
      </c>
      <c r="E154" s="756"/>
      <c r="F154" s="769"/>
      <c r="G154" s="851" t="s">
        <v>389</v>
      </c>
      <c r="H154" s="113" t="s">
        <v>385</v>
      </c>
      <c r="I154" s="64">
        <v>2</v>
      </c>
      <c r="J154" s="193">
        <f t="shared" si="39"/>
        <v>0</v>
      </c>
      <c r="K154" s="800"/>
      <c r="L154" s="79">
        <f t="shared" si="40"/>
        <v>0</v>
      </c>
      <c r="M154" s="40">
        <f t="shared" si="41"/>
        <v>0</v>
      </c>
      <c r="N154" s="55">
        <v>15.07</v>
      </c>
      <c r="O154" s="42">
        <f t="shared" si="42"/>
        <v>-1</v>
      </c>
      <c r="P154" s="43">
        <v>14.88</v>
      </c>
    </row>
    <row r="155" spans="1:16" ht="16.5" customHeight="1">
      <c r="A155" s="226">
        <v>80</v>
      </c>
      <c r="B155" s="646" t="s">
        <v>390</v>
      </c>
      <c r="C155" s="676" t="s">
        <v>391</v>
      </c>
      <c r="D155" s="735" t="s">
        <v>392</v>
      </c>
      <c r="E155" s="748"/>
      <c r="F155" s="770"/>
      <c r="G155" s="839" t="s">
        <v>393</v>
      </c>
      <c r="H155" s="36" t="s">
        <v>39</v>
      </c>
      <c r="I155" s="37">
        <v>10</v>
      </c>
      <c r="J155" s="38">
        <f t="shared" si="39"/>
        <v>0</v>
      </c>
      <c r="K155" s="798"/>
      <c r="L155" s="39">
        <f>K155/46</f>
        <v>0</v>
      </c>
      <c r="M155" s="40">
        <f t="shared" si="41"/>
        <v>0</v>
      </c>
      <c r="N155" s="55">
        <v>24.29</v>
      </c>
      <c r="O155" s="42">
        <f t="shared" si="42"/>
        <v>-1</v>
      </c>
      <c r="P155" s="43">
        <v>22.99</v>
      </c>
    </row>
    <row r="156" spans="1:16" ht="16.5" customHeight="1">
      <c r="A156" s="31"/>
      <c r="B156" s="649"/>
      <c r="C156" s="688" t="s">
        <v>394</v>
      </c>
      <c r="D156" s="656"/>
      <c r="E156" s="752"/>
      <c r="F156" s="742"/>
      <c r="G156" s="852" t="s">
        <v>42</v>
      </c>
      <c r="H156" s="46"/>
      <c r="I156" s="47"/>
      <c r="J156" s="38">
        <f t="shared" si="39"/>
        <v>0</v>
      </c>
      <c r="K156" s="798"/>
      <c r="L156" s="48"/>
      <c r="M156" s="89"/>
      <c r="N156" s="55"/>
      <c r="O156" s="51"/>
      <c r="P156" s="52"/>
    </row>
    <row r="157" spans="1:16" ht="16.5" customHeight="1">
      <c r="A157" s="226">
        <v>81</v>
      </c>
      <c r="B157" s="646" t="s">
        <v>395</v>
      </c>
      <c r="C157" s="676" t="s">
        <v>396</v>
      </c>
      <c r="D157" s="653" t="s">
        <v>397</v>
      </c>
      <c r="E157" s="748"/>
      <c r="F157" s="770"/>
      <c r="G157" s="839" t="s">
        <v>398</v>
      </c>
      <c r="H157" s="36" t="s">
        <v>39</v>
      </c>
      <c r="I157" s="37">
        <v>50</v>
      </c>
      <c r="J157" s="38">
        <f t="shared" si="39"/>
        <v>0</v>
      </c>
      <c r="K157" s="799"/>
      <c r="L157" s="39">
        <f>K157/40</f>
        <v>0</v>
      </c>
      <c r="M157" s="40">
        <f>I157*K157</f>
        <v>0</v>
      </c>
      <c r="N157" s="55">
        <v>26.11</v>
      </c>
      <c r="O157" s="42">
        <f>(K157-N157)/N157</f>
        <v>-1</v>
      </c>
      <c r="P157" s="43">
        <v>25.11</v>
      </c>
    </row>
    <row r="158" spans="1:16" ht="16.5" customHeight="1">
      <c r="A158" s="31"/>
      <c r="B158" s="649"/>
      <c r="C158" s="688" t="s">
        <v>399</v>
      </c>
      <c r="D158" s="656"/>
      <c r="E158" s="752"/>
      <c r="F158" s="742"/>
      <c r="G158" s="852" t="s">
        <v>42</v>
      </c>
      <c r="H158" s="46"/>
      <c r="I158" s="47"/>
      <c r="J158" s="38">
        <f t="shared" si="39"/>
        <v>0</v>
      </c>
      <c r="K158" s="800"/>
      <c r="L158" s="48"/>
      <c r="M158" s="89"/>
      <c r="N158" s="55"/>
      <c r="O158" s="51"/>
      <c r="P158" s="52"/>
    </row>
    <row r="159" spans="1:16" ht="16.5" customHeight="1">
      <c r="A159" s="226">
        <v>82</v>
      </c>
      <c r="B159" s="652" t="s">
        <v>400</v>
      </c>
      <c r="C159" s="676" t="s">
        <v>401</v>
      </c>
      <c r="D159" s="687" t="s">
        <v>402</v>
      </c>
      <c r="E159" s="748" t="s">
        <v>47</v>
      </c>
      <c r="F159" s="760"/>
      <c r="G159" s="839" t="s">
        <v>403</v>
      </c>
      <c r="H159" s="36" t="s">
        <v>39</v>
      </c>
      <c r="I159" s="37">
        <v>16</v>
      </c>
      <c r="J159" s="38">
        <f t="shared" si="39"/>
        <v>0</v>
      </c>
      <c r="K159" s="798"/>
      <c r="L159" s="39">
        <f>K159/600</f>
        <v>0</v>
      </c>
      <c r="M159" s="228">
        <f>K159*I159</f>
        <v>0</v>
      </c>
      <c r="N159" s="55">
        <v>56.79</v>
      </c>
      <c r="O159" s="42">
        <f>(K159-N159)/N159</f>
        <v>-1</v>
      </c>
      <c r="P159" s="43">
        <v>57.03</v>
      </c>
    </row>
    <row r="160" spans="1:16" ht="16.5" customHeight="1">
      <c r="A160" s="31"/>
      <c r="B160" s="677"/>
      <c r="C160" s="678" t="s">
        <v>404</v>
      </c>
      <c r="D160" s="736"/>
      <c r="E160" s="752"/>
      <c r="F160" s="750"/>
      <c r="G160" s="851"/>
      <c r="H160" s="113"/>
      <c r="I160" s="64"/>
      <c r="J160" s="38">
        <f t="shared" si="39"/>
        <v>0</v>
      </c>
      <c r="K160" s="798"/>
      <c r="L160" s="79" t="s">
        <v>405</v>
      </c>
      <c r="M160" s="219"/>
      <c r="N160" s="55"/>
      <c r="O160" s="51"/>
      <c r="P160" s="43"/>
    </row>
    <row r="161" spans="1:16" ht="16.5" customHeight="1">
      <c r="A161" s="226">
        <v>83</v>
      </c>
      <c r="B161" s="646" t="s">
        <v>406</v>
      </c>
      <c r="C161" s="671" t="s">
        <v>407</v>
      </c>
      <c r="D161" s="702" t="s">
        <v>408</v>
      </c>
      <c r="E161" s="748"/>
      <c r="F161" s="740"/>
      <c r="G161" s="839" t="s">
        <v>409</v>
      </c>
      <c r="H161" s="36" t="s">
        <v>39</v>
      </c>
      <c r="I161" s="37">
        <v>120</v>
      </c>
      <c r="J161" s="38">
        <f t="shared" si="39"/>
        <v>0</v>
      </c>
      <c r="K161" s="799"/>
      <c r="L161" s="39">
        <f>K161/80</f>
        <v>0</v>
      </c>
      <c r="M161" s="40">
        <f>I161*K161</f>
        <v>0</v>
      </c>
      <c r="N161" s="55">
        <v>12.95</v>
      </c>
      <c r="O161" s="42">
        <f>(K161-N161)/N161</f>
        <v>-1</v>
      </c>
      <c r="P161" s="43">
        <v>12.95</v>
      </c>
    </row>
    <row r="162" spans="1:16" ht="16.5" customHeight="1">
      <c r="A162" s="31"/>
      <c r="B162" s="660"/>
      <c r="C162" s="674" t="s">
        <v>410</v>
      </c>
      <c r="D162" s="659"/>
      <c r="E162" s="756"/>
      <c r="F162" s="750"/>
      <c r="G162" s="851" t="s">
        <v>42</v>
      </c>
      <c r="H162" s="113"/>
      <c r="I162" s="64"/>
      <c r="J162" s="38">
        <f t="shared" si="39"/>
        <v>0</v>
      </c>
      <c r="K162" s="798"/>
      <c r="L162" s="79"/>
      <c r="M162" s="58"/>
      <c r="N162" s="55"/>
      <c r="O162" s="51"/>
      <c r="P162" s="43"/>
    </row>
    <row r="163" spans="1:16" ht="16.5" customHeight="1">
      <c r="A163" s="31"/>
      <c r="B163" s="649"/>
      <c r="C163" s="737" t="s">
        <v>411</v>
      </c>
      <c r="D163" s="656"/>
      <c r="E163" s="752"/>
      <c r="F163" s="742"/>
      <c r="G163" s="852"/>
      <c r="H163" s="46"/>
      <c r="I163" s="47"/>
      <c r="J163" s="38">
        <f t="shared" si="39"/>
        <v>0</v>
      </c>
      <c r="K163" s="800"/>
      <c r="L163" s="48"/>
      <c r="M163" s="223"/>
      <c r="N163" s="55"/>
      <c r="O163" s="51"/>
      <c r="P163" s="52"/>
    </row>
    <row r="164" spans="1:16" ht="16.5" customHeight="1">
      <c r="A164" s="226">
        <v>84</v>
      </c>
      <c r="B164" s="652" t="s">
        <v>412</v>
      </c>
      <c r="C164" s="668" t="s">
        <v>413</v>
      </c>
      <c r="D164" s="690" t="s">
        <v>414</v>
      </c>
      <c r="E164" s="748" t="s">
        <v>47</v>
      </c>
      <c r="F164" s="770"/>
      <c r="G164" s="839" t="s">
        <v>415</v>
      </c>
      <c r="H164" s="36" t="s">
        <v>39</v>
      </c>
      <c r="I164" s="37">
        <v>40</v>
      </c>
      <c r="J164" s="38">
        <f t="shared" si="39"/>
        <v>0</v>
      </c>
      <c r="K164" s="798"/>
      <c r="L164" s="39">
        <f>K164/140</f>
        <v>0</v>
      </c>
      <c r="M164" s="186">
        <f>I164*K164</f>
        <v>0</v>
      </c>
      <c r="N164" s="55">
        <v>103.02</v>
      </c>
      <c r="O164" s="42">
        <f>(K164-N164)/N164</f>
        <v>-1</v>
      </c>
      <c r="P164" s="43">
        <v>109.19</v>
      </c>
    </row>
    <row r="165" spans="1:16" ht="16.5" customHeight="1">
      <c r="A165" s="31"/>
      <c r="B165" s="680"/>
      <c r="C165" s="672" t="s">
        <v>416</v>
      </c>
      <c r="D165" s="708"/>
      <c r="E165" s="752"/>
      <c r="F165" s="792"/>
      <c r="G165" s="850"/>
      <c r="H165" s="131"/>
      <c r="I165" s="132"/>
      <c r="J165" s="38">
        <f t="shared" si="39"/>
        <v>0</v>
      </c>
      <c r="K165" s="798"/>
      <c r="L165" s="68"/>
      <c r="M165" s="223"/>
      <c r="N165" s="55"/>
      <c r="O165" s="51"/>
      <c r="P165" s="134"/>
    </row>
    <row r="166" spans="1:16" ht="16.5" customHeight="1">
      <c r="A166" s="226">
        <v>85</v>
      </c>
      <c r="B166" s="663" t="s">
        <v>417</v>
      </c>
      <c r="C166" s="685" t="s">
        <v>418</v>
      </c>
      <c r="D166" s="687" t="s">
        <v>419</v>
      </c>
      <c r="E166" s="756" t="s">
        <v>47</v>
      </c>
      <c r="F166" s="750"/>
      <c r="G166" s="851" t="s">
        <v>420</v>
      </c>
      <c r="H166" s="288" t="s">
        <v>39</v>
      </c>
      <c r="I166" s="231">
        <v>15</v>
      </c>
      <c r="J166" s="38">
        <f t="shared" si="39"/>
        <v>0</v>
      </c>
      <c r="K166" s="799"/>
      <c r="L166" s="79">
        <f>K166/192</f>
        <v>0</v>
      </c>
      <c r="M166" s="232">
        <f>I166*K166</f>
        <v>0</v>
      </c>
      <c r="N166" s="55">
        <v>63.56</v>
      </c>
      <c r="O166" s="51"/>
      <c r="P166" s="43">
        <v>66.62</v>
      </c>
    </row>
    <row r="167" spans="1:16" ht="16.5" customHeight="1">
      <c r="A167" s="31"/>
      <c r="B167" s="663"/>
      <c r="C167" s="678" t="s">
        <v>421</v>
      </c>
      <c r="D167" s="687"/>
      <c r="E167" s="756"/>
      <c r="F167" s="793"/>
      <c r="G167" s="850"/>
      <c r="H167" s="151"/>
      <c r="I167" s="152"/>
      <c r="J167" s="38">
        <f t="shared" si="39"/>
        <v>0</v>
      </c>
      <c r="K167" s="800"/>
      <c r="L167" s="68"/>
      <c r="M167" s="223"/>
      <c r="N167" s="55"/>
      <c r="O167" s="51"/>
      <c r="P167" s="134"/>
    </row>
    <row r="168" spans="1:16" ht="16.5" customHeight="1">
      <c r="A168" s="226">
        <v>86</v>
      </c>
      <c r="B168" s="652" t="s">
        <v>422</v>
      </c>
      <c r="C168" s="676" t="s">
        <v>423</v>
      </c>
      <c r="D168" s="690" t="s">
        <v>424</v>
      </c>
      <c r="E168" s="748" t="s">
        <v>47</v>
      </c>
      <c r="F168" s="740"/>
      <c r="G168" s="839" t="s">
        <v>425</v>
      </c>
      <c r="H168" s="36" t="s">
        <v>39</v>
      </c>
      <c r="I168" s="37">
        <v>15</v>
      </c>
      <c r="J168" s="38">
        <f t="shared" si="39"/>
        <v>0</v>
      </c>
      <c r="K168" s="798"/>
      <c r="L168" s="39">
        <f>K168/16</f>
        <v>0</v>
      </c>
      <c r="M168" s="186">
        <f>I168*17.6*K168</f>
        <v>0</v>
      </c>
      <c r="N168" s="55">
        <v>4.88</v>
      </c>
      <c r="O168" s="42">
        <f>(K168-N168)/N168</f>
        <v>-1</v>
      </c>
      <c r="P168" s="43">
        <v>4.99</v>
      </c>
    </row>
    <row r="169" spans="1:16" ht="16.5" customHeight="1">
      <c r="A169" s="31"/>
      <c r="B169" s="680"/>
      <c r="C169" s="672" t="s">
        <v>426</v>
      </c>
      <c r="D169" s="656" t="s">
        <v>427</v>
      </c>
      <c r="E169" s="752"/>
      <c r="F169" s="742"/>
      <c r="G169" s="852"/>
      <c r="H169" s="46"/>
      <c r="I169" s="47"/>
      <c r="J169" s="38">
        <f t="shared" si="39"/>
        <v>0</v>
      </c>
      <c r="K169" s="798"/>
      <c r="L169" s="48"/>
      <c r="M169" s="223"/>
      <c r="N169" s="55"/>
      <c r="O169" s="51"/>
      <c r="P169" s="52">
        <v>0</v>
      </c>
    </row>
    <row r="170" spans="1:16" ht="16.5" customHeight="1">
      <c r="A170" s="226">
        <v>87</v>
      </c>
      <c r="B170" s="652" t="s">
        <v>428</v>
      </c>
      <c r="C170" s="676" t="s">
        <v>429</v>
      </c>
      <c r="D170" s="687" t="s">
        <v>430</v>
      </c>
      <c r="E170" s="748" t="s">
        <v>47</v>
      </c>
      <c r="F170" s="740"/>
      <c r="G170" s="839" t="s">
        <v>431</v>
      </c>
      <c r="H170" s="36" t="s">
        <v>39</v>
      </c>
      <c r="I170" s="37">
        <v>30</v>
      </c>
      <c r="J170" s="38">
        <f t="shared" si="39"/>
        <v>0</v>
      </c>
      <c r="K170" s="799"/>
      <c r="L170" s="39">
        <f>K170/128</f>
        <v>0</v>
      </c>
      <c r="M170" s="186">
        <f>I170*K170</f>
        <v>0</v>
      </c>
      <c r="N170" s="55">
        <v>42.08</v>
      </c>
      <c r="O170" s="42">
        <f>(K170-N170)/N170</f>
        <v>-1</v>
      </c>
      <c r="P170" s="43">
        <v>43.16</v>
      </c>
    </row>
    <row r="171" spans="1:16" ht="16.5" customHeight="1">
      <c r="A171" s="31"/>
      <c r="B171" s="680"/>
      <c r="C171" s="672" t="s">
        <v>432</v>
      </c>
      <c r="D171" s="656"/>
      <c r="E171" s="752"/>
      <c r="F171" s="742"/>
      <c r="G171" s="850"/>
      <c r="H171" s="131"/>
      <c r="I171" s="132"/>
      <c r="J171" s="38">
        <f t="shared" si="39"/>
        <v>0</v>
      </c>
      <c r="K171" s="800"/>
      <c r="L171" s="68"/>
      <c r="M171" s="223"/>
      <c r="N171" s="55"/>
      <c r="O171" s="51"/>
      <c r="P171" s="134"/>
    </row>
    <row r="172" spans="1:16" ht="16.5" customHeight="1">
      <c r="A172" s="226">
        <v>88</v>
      </c>
      <c r="B172" s="652" t="s">
        <v>433</v>
      </c>
      <c r="C172" s="676" t="s">
        <v>434</v>
      </c>
      <c r="D172" s="687" t="s">
        <v>435</v>
      </c>
      <c r="E172" s="748"/>
      <c r="F172" s="740"/>
      <c r="G172" s="839" t="s">
        <v>436</v>
      </c>
      <c r="H172" s="36" t="s">
        <v>39</v>
      </c>
      <c r="I172" s="37">
        <v>75</v>
      </c>
      <c r="J172" s="38">
        <f t="shared" si="39"/>
        <v>0</v>
      </c>
      <c r="K172" s="798"/>
      <c r="L172" s="39">
        <f>K172/96</f>
        <v>0</v>
      </c>
      <c r="M172" s="186">
        <f>I172*K172</f>
        <v>0</v>
      </c>
      <c r="N172" s="55">
        <v>49.56</v>
      </c>
      <c r="O172" s="42">
        <f>(K172-N172)/N172</f>
        <v>-1</v>
      </c>
      <c r="P172" s="43">
        <v>47.64</v>
      </c>
    </row>
    <row r="173" spans="1:16" ht="16.5" customHeight="1">
      <c r="A173" s="31"/>
      <c r="B173" s="680"/>
      <c r="C173" s="733"/>
      <c r="D173" s="656"/>
      <c r="E173" s="752"/>
      <c r="F173" s="742"/>
      <c r="G173" s="852" t="s">
        <v>42</v>
      </c>
      <c r="H173" s="46"/>
      <c r="I173" s="47"/>
      <c r="J173" s="38">
        <f t="shared" si="39"/>
        <v>0</v>
      </c>
      <c r="K173" s="798"/>
      <c r="L173" s="57"/>
      <c r="M173" s="223"/>
      <c r="N173" s="55"/>
      <c r="O173" s="51"/>
      <c r="P173" s="52">
        <v>0</v>
      </c>
    </row>
    <row r="174" spans="1:16" ht="16.5" customHeight="1">
      <c r="A174" s="226">
        <v>89</v>
      </c>
      <c r="B174" s="652" t="s">
        <v>437</v>
      </c>
      <c r="C174" s="668" t="s">
        <v>438</v>
      </c>
      <c r="D174" s="686" t="s">
        <v>439</v>
      </c>
      <c r="E174" s="748" t="s">
        <v>47</v>
      </c>
      <c r="F174" s="740"/>
      <c r="G174" s="839" t="s">
        <v>440</v>
      </c>
      <c r="H174" s="36" t="s">
        <v>39</v>
      </c>
      <c r="I174" s="37">
        <v>214</v>
      </c>
      <c r="J174" s="38">
        <f t="shared" si="39"/>
        <v>0</v>
      </c>
      <c r="K174" s="806"/>
      <c r="L174" s="136">
        <f t="shared" ref="L174:L175" si="43">K174/72</f>
        <v>0</v>
      </c>
      <c r="M174" s="137">
        <f>I174*K174</f>
        <v>0</v>
      </c>
      <c r="N174" s="55">
        <v>37.78</v>
      </c>
      <c r="O174" s="42">
        <f>(K174-N174)/N174</f>
        <v>-1</v>
      </c>
      <c r="P174" s="43">
        <v>37.659999999999997</v>
      </c>
    </row>
    <row r="175" spans="1:16" ht="16.5" customHeight="1">
      <c r="A175" s="31"/>
      <c r="B175" s="663"/>
      <c r="C175" s="674" t="s">
        <v>441</v>
      </c>
      <c r="D175" s="659"/>
      <c r="E175" s="756"/>
      <c r="F175" s="750"/>
      <c r="G175" s="852" t="s">
        <v>442</v>
      </c>
      <c r="H175" s="113"/>
      <c r="I175" s="64"/>
      <c r="J175" s="38"/>
      <c r="K175" s="807"/>
      <c r="L175" s="156">
        <f t="shared" si="43"/>
        <v>0</v>
      </c>
      <c r="M175" s="125"/>
      <c r="N175" s="55"/>
      <c r="O175" s="51"/>
      <c r="P175" s="134">
        <f>P174-2.02</f>
        <v>35.639999999999993</v>
      </c>
    </row>
    <row r="176" spans="1:16" ht="16.5" customHeight="1">
      <c r="A176" s="226">
        <v>90</v>
      </c>
      <c r="B176" s="652" t="s">
        <v>443</v>
      </c>
      <c r="C176" s="676" t="s">
        <v>444</v>
      </c>
      <c r="D176" s="690" t="s">
        <v>445</v>
      </c>
      <c r="E176" s="748"/>
      <c r="F176" s="740"/>
      <c r="G176" s="839" t="s">
        <v>446</v>
      </c>
      <c r="H176" s="36" t="s">
        <v>39</v>
      </c>
      <c r="I176" s="37">
        <v>20</v>
      </c>
      <c r="J176" s="38">
        <f t="shared" ref="J176:J183" si="44">(K176*8%)+K176</f>
        <v>0</v>
      </c>
      <c r="K176" s="798"/>
      <c r="L176" s="178">
        <f>K176/48</f>
        <v>0</v>
      </c>
      <c r="M176" s="40">
        <f>I176*K176</f>
        <v>0</v>
      </c>
      <c r="N176" s="55">
        <v>29.26</v>
      </c>
      <c r="O176" s="42">
        <f>(K176-N176)/N176</f>
        <v>-1</v>
      </c>
      <c r="P176" s="43">
        <v>28.3</v>
      </c>
    </row>
    <row r="177" spans="1:16" ht="16.5" customHeight="1">
      <c r="A177" s="31"/>
      <c r="B177" s="680"/>
      <c r="C177" s="688"/>
      <c r="D177" s="656"/>
      <c r="E177" s="752"/>
      <c r="F177" s="742"/>
      <c r="G177" s="852" t="s">
        <v>42</v>
      </c>
      <c r="H177" s="46"/>
      <c r="I177" s="47"/>
      <c r="J177" s="38">
        <f t="shared" si="44"/>
        <v>0</v>
      </c>
      <c r="K177" s="800"/>
      <c r="L177" s="48"/>
      <c r="M177" s="89"/>
      <c r="N177" s="55"/>
      <c r="O177" s="51"/>
      <c r="P177" s="52">
        <v>0</v>
      </c>
    </row>
    <row r="178" spans="1:16" ht="16.5" customHeight="1">
      <c r="A178" s="226">
        <v>91</v>
      </c>
      <c r="B178" s="652" t="s">
        <v>447</v>
      </c>
      <c r="C178" s="676" t="s">
        <v>448</v>
      </c>
      <c r="D178" s="687"/>
      <c r="E178" s="748"/>
      <c r="F178" s="740"/>
      <c r="G178" s="839" t="s">
        <v>449</v>
      </c>
      <c r="H178" s="36" t="s">
        <v>39</v>
      </c>
      <c r="I178" s="37">
        <v>20</v>
      </c>
      <c r="J178" s="38">
        <f t="shared" si="44"/>
        <v>0</v>
      </c>
      <c r="K178" s="798"/>
      <c r="L178" s="39"/>
      <c r="M178" s="40">
        <f>I178*K178</f>
        <v>0</v>
      </c>
      <c r="N178" s="55"/>
      <c r="O178" s="42"/>
      <c r="P178" s="43"/>
    </row>
    <row r="179" spans="1:16" ht="16.5" customHeight="1">
      <c r="A179" s="226"/>
      <c r="B179" s="680"/>
      <c r="C179" s="688"/>
      <c r="D179" s="656"/>
      <c r="E179" s="752"/>
      <c r="F179" s="742"/>
      <c r="G179" s="852" t="s">
        <v>450</v>
      </c>
      <c r="H179" s="46"/>
      <c r="I179" s="47"/>
      <c r="J179" s="38">
        <f t="shared" si="44"/>
        <v>0</v>
      </c>
      <c r="K179" s="800"/>
      <c r="L179" s="48"/>
      <c r="M179" s="89"/>
      <c r="N179" s="55"/>
      <c r="O179" s="42"/>
      <c r="P179" s="43"/>
    </row>
    <row r="180" spans="1:16" ht="16.5" customHeight="1">
      <c r="A180" s="226"/>
      <c r="B180" s="652" t="s">
        <v>451</v>
      </c>
      <c r="C180" s="738" t="s">
        <v>452</v>
      </c>
      <c r="D180" s="653"/>
      <c r="E180" s="748"/>
      <c r="F180" s="740"/>
      <c r="G180" s="839" t="s">
        <v>453</v>
      </c>
      <c r="H180" s="36" t="s">
        <v>39</v>
      </c>
      <c r="I180" s="37">
        <v>200</v>
      </c>
      <c r="J180" s="38">
        <f t="shared" si="44"/>
        <v>0</v>
      </c>
      <c r="K180" s="798"/>
      <c r="L180" s="39">
        <f>K180/48</f>
        <v>0</v>
      </c>
      <c r="M180" s="40">
        <f>I180*K180</f>
        <v>0</v>
      </c>
      <c r="N180" s="55">
        <v>11.04</v>
      </c>
      <c r="O180" s="42">
        <f>(K180-N180)/N180</f>
        <v>-1</v>
      </c>
      <c r="P180" s="43">
        <v>11.04</v>
      </c>
    </row>
    <row r="181" spans="1:16" ht="16.5" customHeight="1">
      <c r="A181" s="226">
        <v>92</v>
      </c>
      <c r="B181" s="663"/>
      <c r="C181" s="660"/>
      <c r="D181" s="678" t="s">
        <v>454</v>
      </c>
      <c r="E181" s="756"/>
      <c r="F181" s="750"/>
      <c r="G181" s="851" t="s">
        <v>455</v>
      </c>
      <c r="H181" s="113"/>
      <c r="I181" s="64"/>
      <c r="J181" s="38">
        <f t="shared" si="44"/>
        <v>0</v>
      </c>
      <c r="K181" s="798"/>
      <c r="L181" s="79"/>
      <c r="M181" s="58"/>
      <c r="N181" s="55">
        <v>11.04</v>
      </c>
      <c r="O181" s="51"/>
      <c r="P181" s="43"/>
    </row>
    <row r="182" spans="1:16" ht="16.5" customHeight="1">
      <c r="A182" s="226">
        <v>93</v>
      </c>
      <c r="B182" s="663"/>
      <c r="C182" s="734"/>
      <c r="D182" s="678" t="s">
        <v>454</v>
      </c>
      <c r="E182" s="756"/>
      <c r="F182" s="750"/>
      <c r="G182" s="864" t="s">
        <v>456</v>
      </c>
      <c r="H182" s="113"/>
      <c r="I182" s="64"/>
      <c r="J182" s="38">
        <f t="shared" si="44"/>
        <v>0</v>
      </c>
      <c r="K182" s="798"/>
      <c r="L182" s="79"/>
      <c r="M182" s="58"/>
      <c r="N182" s="55">
        <v>11.04</v>
      </c>
      <c r="O182" s="51"/>
      <c r="P182" s="43"/>
    </row>
    <row r="183" spans="1:16" ht="16.5" customHeight="1">
      <c r="A183" s="233">
        <v>94</v>
      </c>
      <c r="B183" s="663"/>
      <c r="C183" s="734"/>
      <c r="D183" s="678" t="s">
        <v>454</v>
      </c>
      <c r="E183" s="756"/>
      <c r="F183" s="750"/>
      <c r="G183" s="851" t="s">
        <v>457</v>
      </c>
      <c r="H183" s="113"/>
      <c r="I183" s="64"/>
      <c r="J183" s="38">
        <f t="shared" si="44"/>
        <v>0</v>
      </c>
      <c r="K183" s="798"/>
      <c r="L183" s="79"/>
      <c r="M183" s="58"/>
      <c r="N183" s="55">
        <v>11.04</v>
      </c>
      <c r="O183" s="234"/>
      <c r="P183" s="43"/>
    </row>
    <row r="184" spans="1:16" ht="15.75" customHeight="1">
      <c r="A184" s="233">
        <v>95</v>
      </c>
      <c r="B184" s="706"/>
      <c r="C184" s="734"/>
      <c r="D184" s="678" t="s">
        <v>454</v>
      </c>
      <c r="E184" s="794"/>
      <c r="F184" s="750"/>
      <c r="G184" s="840" t="s">
        <v>458</v>
      </c>
      <c r="H184" s="179"/>
      <c r="I184" s="179"/>
      <c r="J184" s="235"/>
      <c r="K184" s="798"/>
      <c r="L184" s="236"/>
      <c r="M184" s="58"/>
      <c r="N184" s="55">
        <v>13.7</v>
      </c>
      <c r="O184" s="237"/>
      <c r="P184" s="238"/>
    </row>
    <row r="185" spans="1:16" ht="15.75" customHeight="1">
      <c r="A185" s="233">
        <v>96</v>
      </c>
      <c r="B185" s="706"/>
      <c r="C185" s="734"/>
      <c r="D185" s="678" t="s">
        <v>454</v>
      </c>
      <c r="E185" s="794"/>
      <c r="F185" s="750"/>
      <c r="G185" s="865" t="s">
        <v>459</v>
      </c>
      <c r="H185" s="179"/>
      <c r="I185" s="179"/>
      <c r="J185" s="235"/>
      <c r="K185" s="798"/>
      <c r="L185" s="236"/>
      <c r="M185" s="58"/>
      <c r="N185" s="55">
        <v>13.7</v>
      </c>
      <c r="O185" s="237"/>
      <c r="P185" s="238"/>
    </row>
    <row r="186" spans="1:16" ht="15.75" customHeight="1">
      <c r="A186" s="233">
        <v>97</v>
      </c>
      <c r="B186" s="706"/>
      <c r="C186" s="734"/>
      <c r="D186" s="678" t="s">
        <v>454</v>
      </c>
      <c r="E186" s="795"/>
      <c r="F186" s="750"/>
      <c r="G186" s="840" t="s">
        <v>460</v>
      </c>
      <c r="H186" s="179"/>
      <c r="I186" s="179"/>
      <c r="J186" s="235"/>
      <c r="K186" s="798"/>
      <c r="L186" s="239"/>
      <c r="M186" s="58"/>
      <c r="N186" s="55">
        <v>13.7</v>
      </c>
      <c r="O186" s="240" t="s">
        <v>461</v>
      </c>
      <c r="P186" s="238"/>
    </row>
    <row r="187" spans="1:16" ht="30" customHeight="1">
      <c r="A187" s="241"/>
      <c r="B187" s="554" t="s">
        <v>462</v>
      </c>
      <c r="C187" s="549"/>
      <c r="D187" s="549"/>
      <c r="E187" s="549"/>
      <c r="F187" s="549"/>
      <c r="G187" s="549"/>
      <c r="H187" s="549"/>
      <c r="I187" s="549"/>
      <c r="J187" s="242"/>
      <c r="K187" s="548">
        <f>SUM(M13:M186)</f>
        <v>0</v>
      </c>
      <c r="L187" s="549"/>
      <c r="M187" s="550"/>
      <c r="N187" s="243"/>
      <c r="O187" s="244" t="e">
        <f>SUM(O13:O180)/74</f>
        <v>#REF!</v>
      </c>
      <c r="P187" s="245"/>
    </row>
    <row r="188" spans="1:16" ht="30" customHeight="1">
      <c r="A188" s="246"/>
      <c r="B188" s="551" t="s">
        <v>463</v>
      </c>
      <c r="C188" s="552"/>
      <c r="D188" s="552"/>
      <c r="E188" s="552"/>
      <c r="F188" s="552"/>
      <c r="G188" s="552"/>
      <c r="H188" s="552"/>
      <c r="I188" s="552"/>
      <c r="J188" s="552"/>
      <c r="K188" s="552"/>
      <c r="L188" s="552"/>
      <c r="M188" s="553"/>
      <c r="N188" s="243"/>
      <c r="O188" s="247"/>
      <c r="P188" s="245"/>
    </row>
    <row r="189" spans="1:16" ht="15.75" hidden="1" customHeight="1">
      <c r="A189" s="248">
        <v>1</v>
      </c>
      <c r="B189" s="249" t="s">
        <v>464</v>
      </c>
      <c r="C189" s="250" t="s">
        <v>465</v>
      </c>
      <c r="D189" s="251"/>
      <c r="E189" s="252"/>
      <c r="F189" s="253" t="s">
        <v>466</v>
      </c>
      <c r="G189" s="254" t="s">
        <v>467</v>
      </c>
      <c r="H189" s="255" t="s">
        <v>468</v>
      </c>
      <c r="I189" s="256">
        <v>20000</v>
      </c>
      <c r="J189" s="257">
        <f t="shared" ref="J189:J192" si="45">(K189*8%)+K189</f>
        <v>0</v>
      </c>
      <c r="K189" s="258"/>
      <c r="L189" s="259">
        <f>K189/240</f>
        <v>0</v>
      </c>
      <c r="M189" s="260">
        <f t="shared" ref="M189:M192" si="46">L189*I189</f>
        <v>0</v>
      </c>
      <c r="N189" s="261">
        <v>17.57</v>
      </c>
      <c r="O189" s="42">
        <f t="shared" ref="O189:O192" si="47">(K189-N189)/N189</f>
        <v>-1</v>
      </c>
      <c r="P189" s="262">
        <v>17.399999999999999</v>
      </c>
    </row>
    <row r="190" spans="1:16" ht="15.75" hidden="1" customHeight="1">
      <c r="A190" s="248">
        <v>2</v>
      </c>
      <c r="B190" s="263" t="s">
        <v>469</v>
      </c>
      <c r="C190" s="264" t="s">
        <v>470</v>
      </c>
      <c r="D190" s="265"/>
      <c r="E190" s="266"/>
      <c r="F190" s="267" t="s">
        <v>471</v>
      </c>
      <c r="G190" s="268" t="s">
        <v>472</v>
      </c>
      <c r="H190" s="269" t="s">
        <v>473</v>
      </c>
      <c r="I190" s="270">
        <v>25000</v>
      </c>
      <c r="J190" s="271">
        <f t="shared" si="45"/>
        <v>0</v>
      </c>
      <c r="K190" s="272"/>
      <c r="L190" s="273">
        <f>K190/120</f>
        <v>0</v>
      </c>
      <c r="M190" s="274">
        <f t="shared" si="46"/>
        <v>0</v>
      </c>
      <c r="N190" s="261">
        <v>21.93</v>
      </c>
      <c r="O190" s="42">
        <f t="shared" si="47"/>
        <v>-1</v>
      </c>
      <c r="P190" s="43">
        <v>21.15</v>
      </c>
    </row>
    <row r="191" spans="1:16" ht="15.75" hidden="1" customHeight="1">
      <c r="A191" s="248">
        <v>3</v>
      </c>
      <c r="B191" s="263" t="s">
        <v>474</v>
      </c>
      <c r="C191" s="270" t="s">
        <v>475</v>
      </c>
      <c r="D191" s="265"/>
      <c r="E191" s="275"/>
      <c r="F191" s="276" t="s">
        <v>476</v>
      </c>
      <c r="G191" s="268" t="s">
        <v>477</v>
      </c>
      <c r="H191" s="269" t="s">
        <v>473</v>
      </c>
      <c r="I191" s="270">
        <v>6000</v>
      </c>
      <c r="J191" s="271">
        <f t="shared" si="45"/>
        <v>0</v>
      </c>
      <c r="K191" s="272"/>
      <c r="L191" s="273">
        <f>K191/144</f>
        <v>0</v>
      </c>
      <c r="M191" s="274">
        <f t="shared" si="46"/>
        <v>0</v>
      </c>
      <c r="N191" s="261">
        <v>24.21</v>
      </c>
      <c r="O191" s="42">
        <f t="shared" si="47"/>
        <v>-1</v>
      </c>
      <c r="P191" s="43">
        <v>22.5</v>
      </c>
    </row>
    <row r="192" spans="1:16" ht="15.75" hidden="1" customHeight="1">
      <c r="A192" s="248">
        <v>4</v>
      </c>
      <c r="B192" s="263" t="s">
        <v>478</v>
      </c>
      <c r="C192" s="270" t="s">
        <v>479</v>
      </c>
      <c r="D192" s="265"/>
      <c r="E192" s="275"/>
      <c r="F192" s="276" t="s">
        <v>480</v>
      </c>
      <c r="G192" s="268" t="s">
        <v>481</v>
      </c>
      <c r="H192" s="269" t="s">
        <v>473</v>
      </c>
      <c r="I192" s="270">
        <v>4000</v>
      </c>
      <c r="J192" s="271">
        <f t="shared" si="45"/>
        <v>0</v>
      </c>
      <c r="K192" s="272"/>
      <c r="L192" s="273">
        <f>K192/120</f>
        <v>0</v>
      </c>
      <c r="M192" s="274">
        <f t="shared" si="46"/>
        <v>0</v>
      </c>
      <c r="N192" s="261">
        <v>26.54</v>
      </c>
      <c r="O192" s="42">
        <f t="shared" si="47"/>
        <v>-1</v>
      </c>
      <c r="P192" s="43">
        <v>25.4</v>
      </c>
    </row>
    <row r="193" spans="1:16" ht="15.75" hidden="1">
      <c r="A193" s="248"/>
      <c r="B193" s="277"/>
      <c r="C193" s="278"/>
      <c r="D193" s="279"/>
      <c r="E193" s="555" t="s">
        <v>482</v>
      </c>
      <c r="F193" s="556"/>
      <c r="G193" s="556"/>
      <c r="H193" s="556"/>
      <c r="I193" s="556"/>
      <c r="J193" s="278"/>
      <c r="K193" s="280"/>
      <c r="L193" s="281"/>
      <c r="M193" s="282"/>
      <c r="N193" s="261"/>
      <c r="O193" s="42"/>
      <c r="P193" s="43"/>
    </row>
    <row r="194" spans="1:16" ht="16.5" customHeight="1">
      <c r="A194" s="90">
        <v>1</v>
      </c>
      <c r="B194" s="283" t="s">
        <v>483</v>
      </c>
      <c r="C194" s="114" t="s">
        <v>484</v>
      </c>
      <c r="D194" s="142" t="s">
        <v>485</v>
      </c>
      <c r="E194" s="753"/>
      <c r="F194" s="815"/>
      <c r="G194" s="839" t="s">
        <v>486</v>
      </c>
      <c r="H194" s="36" t="s">
        <v>39</v>
      </c>
      <c r="I194" s="285">
        <v>45</v>
      </c>
      <c r="J194" s="88">
        <f t="shared" ref="J194:J195" si="48">(K194*8%)+K194</f>
        <v>0</v>
      </c>
      <c r="K194" s="286"/>
      <c r="L194" s="286">
        <f t="shared" ref="L194:L195" si="49">K194/72</f>
        <v>0</v>
      </c>
      <c r="M194" s="40">
        <f t="shared" ref="M194:M195" si="50">K194*I194</f>
        <v>0</v>
      </c>
      <c r="N194" s="287">
        <v>30</v>
      </c>
      <c r="O194" s="51"/>
      <c r="P194" s="52"/>
    </row>
    <row r="195" spans="1:16" ht="15.75">
      <c r="A195" s="90">
        <v>2</v>
      </c>
      <c r="B195" s="288" t="s">
        <v>487</v>
      </c>
      <c r="C195" s="111" t="s">
        <v>488</v>
      </c>
      <c r="D195" s="182" t="s">
        <v>485</v>
      </c>
      <c r="E195" s="755"/>
      <c r="F195" s="816"/>
      <c r="G195" s="851" t="s">
        <v>489</v>
      </c>
      <c r="H195" s="113" t="s">
        <v>39</v>
      </c>
      <c r="I195" s="289">
        <v>45</v>
      </c>
      <c r="J195" s="290">
        <f t="shared" si="48"/>
        <v>0</v>
      </c>
      <c r="K195" s="828"/>
      <c r="L195" s="291">
        <f t="shared" si="49"/>
        <v>0</v>
      </c>
      <c r="M195" s="58">
        <f t="shared" si="50"/>
        <v>0</v>
      </c>
      <c r="N195" s="287">
        <v>30</v>
      </c>
      <c r="O195" s="51"/>
      <c r="P195" s="52"/>
    </row>
    <row r="196" spans="1:16" ht="16.5" customHeight="1">
      <c r="A196" s="90"/>
      <c r="B196" s="292"/>
      <c r="C196" s="222"/>
      <c r="D196" s="110"/>
      <c r="E196" s="754"/>
      <c r="F196" s="817"/>
      <c r="G196" s="852" t="s">
        <v>490</v>
      </c>
      <c r="H196" s="46"/>
      <c r="I196" s="293"/>
      <c r="J196" s="181"/>
      <c r="K196" s="829"/>
      <c r="L196" s="294"/>
      <c r="M196" s="295"/>
      <c r="N196" s="296"/>
      <c r="O196" s="51"/>
      <c r="P196" s="52"/>
    </row>
    <row r="197" spans="1:16" ht="16.5" customHeight="1">
      <c r="A197" s="226">
        <v>3</v>
      </c>
      <c r="B197" s="61" t="s">
        <v>491</v>
      </c>
      <c r="C197" s="229" t="s">
        <v>492</v>
      </c>
      <c r="D197" s="62" t="s">
        <v>493</v>
      </c>
      <c r="E197" s="775"/>
      <c r="F197" s="816"/>
      <c r="G197" s="851" t="s">
        <v>494</v>
      </c>
      <c r="H197" s="113" t="s">
        <v>39</v>
      </c>
      <c r="I197" s="64">
        <v>60</v>
      </c>
      <c r="J197" s="183">
        <f t="shared" ref="J197:J200" si="51">(K197*8%)+K197</f>
        <v>0</v>
      </c>
      <c r="K197" s="830"/>
      <c r="L197" s="297">
        <f>K197/216</f>
        <v>0</v>
      </c>
      <c r="M197" s="58">
        <f>K197*I197</f>
        <v>0</v>
      </c>
      <c r="N197" s="41">
        <v>30.87</v>
      </c>
      <c r="O197" s="42">
        <f>(K197-N197)/N197</f>
        <v>-1</v>
      </c>
      <c r="P197" s="43">
        <v>30.99</v>
      </c>
    </row>
    <row r="198" spans="1:16" ht="16.5" customHeight="1">
      <c r="A198" s="226"/>
      <c r="B198" s="61"/>
      <c r="C198" s="78" t="s">
        <v>495</v>
      </c>
      <c r="D198" s="110"/>
      <c r="E198" s="756"/>
      <c r="F198" s="816"/>
      <c r="G198" s="851"/>
      <c r="H198" s="113"/>
      <c r="I198" s="64"/>
      <c r="J198" s="38">
        <f t="shared" si="51"/>
        <v>0</v>
      </c>
      <c r="K198" s="831"/>
      <c r="L198" s="298"/>
      <c r="M198" s="58"/>
      <c r="N198" s="299"/>
      <c r="O198" s="51"/>
      <c r="P198" s="52"/>
    </row>
    <row r="199" spans="1:16" ht="16.5" customHeight="1">
      <c r="A199" s="226">
        <v>4</v>
      </c>
      <c r="B199" s="53" t="s">
        <v>496</v>
      </c>
      <c r="C199" s="85" t="s">
        <v>497</v>
      </c>
      <c r="D199" s="86" t="s">
        <v>498</v>
      </c>
      <c r="E199" s="748" t="s">
        <v>47</v>
      </c>
      <c r="F199" s="815"/>
      <c r="G199" s="839" t="s">
        <v>499</v>
      </c>
      <c r="H199" s="36"/>
      <c r="I199" s="37"/>
      <c r="J199" s="38">
        <f t="shared" si="51"/>
        <v>0</v>
      </c>
      <c r="K199" s="796"/>
      <c r="L199" s="300"/>
      <c r="M199" s="40"/>
      <c r="N199" s="41"/>
      <c r="O199" s="42"/>
      <c r="P199" s="43"/>
    </row>
    <row r="200" spans="1:16" ht="15.75">
      <c r="A200" s="73"/>
      <c r="B200" s="61"/>
      <c r="C200" s="111" t="s">
        <v>500</v>
      </c>
      <c r="D200" s="112"/>
      <c r="E200" s="756"/>
      <c r="F200" s="816"/>
      <c r="G200" s="851" t="s">
        <v>501</v>
      </c>
      <c r="H200" s="113" t="s">
        <v>39</v>
      </c>
      <c r="I200" s="64">
        <v>25</v>
      </c>
      <c r="J200" s="38">
        <f t="shared" si="51"/>
        <v>0</v>
      </c>
      <c r="K200" s="831"/>
      <c r="L200" s="301">
        <f t="shared" ref="L200:L202" si="52">K200/144</f>
        <v>0</v>
      </c>
      <c r="M200" s="58">
        <f>I200*K200</f>
        <v>0</v>
      </c>
      <c r="N200" s="299">
        <v>30.87</v>
      </c>
      <c r="O200" s="42">
        <f>(K200-N200)/N200</f>
        <v>-1</v>
      </c>
      <c r="P200" s="52">
        <v>30.76</v>
      </c>
    </row>
    <row r="201" spans="1:16" ht="16.5" customHeight="1">
      <c r="A201" s="31"/>
      <c r="B201" s="61"/>
      <c r="C201" s="179"/>
      <c r="D201" s="112"/>
      <c r="E201" s="756"/>
      <c r="F201" s="816"/>
      <c r="G201" s="853"/>
      <c r="H201" s="151"/>
      <c r="I201" s="152"/>
      <c r="J201" s="38"/>
      <c r="K201" s="832"/>
      <c r="L201" s="302">
        <f t="shared" si="52"/>
        <v>0</v>
      </c>
      <c r="M201" s="58"/>
      <c r="N201" s="303"/>
      <c r="O201" s="51"/>
      <c r="P201" s="134">
        <f>P200-7.29</f>
        <v>23.470000000000002</v>
      </c>
    </row>
    <row r="202" spans="1:16" ht="16.5" customHeight="1">
      <c r="A202" s="226"/>
      <c r="B202" s="61"/>
      <c r="C202" s="111" t="s">
        <v>502</v>
      </c>
      <c r="D202" s="102" t="s">
        <v>503</v>
      </c>
      <c r="E202" s="749"/>
      <c r="F202" s="816"/>
      <c r="G202" s="851" t="s">
        <v>504</v>
      </c>
      <c r="H202" s="113" t="s">
        <v>39</v>
      </c>
      <c r="I202" s="64">
        <v>40</v>
      </c>
      <c r="J202" s="88">
        <f t="shared" ref="J202:J203" si="53">(K202*8%)+K202</f>
        <v>0</v>
      </c>
      <c r="K202" s="833"/>
      <c r="L202" s="304">
        <f t="shared" si="52"/>
        <v>0</v>
      </c>
      <c r="M202" s="58">
        <f t="shared" ref="M202:M203" si="54">I202*K202</f>
        <v>0</v>
      </c>
      <c r="N202" s="299">
        <v>50.28</v>
      </c>
      <c r="O202" s="42">
        <f t="shared" ref="O202:O203" si="55">(K202-N202)/N202</f>
        <v>-1</v>
      </c>
      <c r="P202" s="52">
        <v>48.99</v>
      </c>
    </row>
    <row r="203" spans="1:16" ht="25.5" customHeight="1">
      <c r="A203" s="305">
        <v>5</v>
      </c>
      <c r="B203" s="53" t="s">
        <v>505</v>
      </c>
      <c r="C203" s="108" t="s">
        <v>506</v>
      </c>
      <c r="D203" s="142" t="s">
        <v>507</v>
      </c>
      <c r="E203" s="818" t="s">
        <v>47</v>
      </c>
      <c r="F203" s="815"/>
      <c r="G203" s="839" t="s">
        <v>508</v>
      </c>
      <c r="H203" s="36" t="s">
        <v>39</v>
      </c>
      <c r="I203" s="37">
        <v>20</v>
      </c>
      <c r="J203" s="88">
        <f t="shared" si="53"/>
        <v>0</v>
      </c>
      <c r="K203" s="834"/>
      <c r="L203" s="136">
        <f t="shared" ref="L203:L204" si="56">K203/96</f>
        <v>0</v>
      </c>
      <c r="M203" s="40">
        <f t="shared" si="54"/>
        <v>0</v>
      </c>
      <c r="N203" s="261">
        <v>41.75</v>
      </c>
      <c r="O203" s="42">
        <f t="shared" si="55"/>
        <v>-1</v>
      </c>
      <c r="P203" s="43">
        <v>41.36</v>
      </c>
    </row>
    <row r="204" spans="1:16" ht="16.5" customHeight="1">
      <c r="A204" s="96"/>
      <c r="B204" s="115"/>
      <c r="C204" s="158" t="s">
        <v>509</v>
      </c>
      <c r="D204" s="110"/>
      <c r="E204" s="754"/>
      <c r="F204" s="817"/>
      <c r="G204" s="850"/>
      <c r="H204" s="131"/>
      <c r="I204" s="132"/>
      <c r="J204" s="181"/>
      <c r="K204" s="835"/>
      <c r="L204" s="156">
        <f t="shared" si="56"/>
        <v>0</v>
      </c>
      <c r="M204" s="89"/>
      <c r="N204" s="306"/>
      <c r="O204" s="42"/>
      <c r="P204" s="134">
        <f>P203-9.95</f>
        <v>31.41</v>
      </c>
    </row>
    <row r="205" spans="1:16" ht="16.5" customHeight="1">
      <c r="A205" s="226">
        <v>6</v>
      </c>
      <c r="B205" s="61" t="s">
        <v>510</v>
      </c>
      <c r="C205" s="307" t="s">
        <v>511</v>
      </c>
      <c r="D205" s="129" t="s">
        <v>512</v>
      </c>
      <c r="E205" s="775"/>
      <c r="F205" s="816"/>
      <c r="G205" s="851" t="s">
        <v>513</v>
      </c>
      <c r="H205" s="113" t="s">
        <v>39</v>
      </c>
      <c r="I205" s="64">
        <v>20</v>
      </c>
      <c r="J205" s="183">
        <f t="shared" ref="J205:J231" si="57">(K205*8%)+K205</f>
        <v>0</v>
      </c>
      <c r="K205" s="805"/>
      <c r="L205" s="308">
        <f t="shared" ref="L205:L206" si="58">K205/144</f>
        <v>0</v>
      </c>
      <c r="M205" s="58">
        <f>I205*K205</f>
        <v>0</v>
      </c>
      <c r="N205" s="55">
        <v>20.100000000000001</v>
      </c>
      <c r="O205" s="42">
        <f>(K205-N205)/N205</f>
        <v>-1</v>
      </c>
      <c r="P205" s="43">
        <v>19.850000000000001</v>
      </c>
    </row>
    <row r="206" spans="1:16" ht="16.5" customHeight="1">
      <c r="A206" s="31"/>
      <c r="B206" s="115"/>
      <c r="C206" s="230" t="s">
        <v>514</v>
      </c>
      <c r="D206" s="110"/>
      <c r="E206" s="752"/>
      <c r="F206" s="817"/>
      <c r="G206" s="852" t="s">
        <v>515</v>
      </c>
      <c r="H206" s="46"/>
      <c r="I206" s="47"/>
      <c r="J206" s="38">
        <f t="shared" si="57"/>
        <v>0</v>
      </c>
      <c r="K206" s="805"/>
      <c r="L206" s="309">
        <f t="shared" si="58"/>
        <v>0</v>
      </c>
      <c r="M206" s="223"/>
      <c r="N206" s="55"/>
      <c r="O206" s="42"/>
      <c r="P206" s="52"/>
    </row>
    <row r="207" spans="1:16" ht="26.25" customHeight="1">
      <c r="A207" s="226">
        <v>7</v>
      </c>
      <c r="B207" s="53" t="s">
        <v>516</v>
      </c>
      <c r="C207" s="85" t="s">
        <v>517</v>
      </c>
      <c r="D207" s="129" t="s">
        <v>518</v>
      </c>
      <c r="E207" s="748"/>
      <c r="F207" s="815"/>
      <c r="G207" s="839" t="s">
        <v>519</v>
      </c>
      <c r="H207" s="36" t="s">
        <v>39</v>
      </c>
      <c r="I207" s="37">
        <v>20</v>
      </c>
      <c r="J207" s="38">
        <f t="shared" si="57"/>
        <v>0</v>
      </c>
      <c r="K207" s="811"/>
      <c r="L207" s="300">
        <f>K207/72</f>
        <v>0</v>
      </c>
      <c r="M207" s="40">
        <f>I207*K207</f>
        <v>0</v>
      </c>
      <c r="N207" s="55">
        <v>29.85</v>
      </c>
      <c r="O207" s="42">
        <f>(K207-N207)/N207</f>
        <v>-1</v>
      </c>
      <c r="P207" s="43">
        <v>29.6</v>
      </c>
    </row>
    <row r="208" spans="1:16" ht="16.5" customHeight="1">
      <c r="A208" s="31"/>
      <c r="B208" s="115"/>
      <c r="C208" s="230" t="s">
        <v>520</v>
      </c>
      <c r="D208" s="110"/>
      <c r="E208" s="752"/>
      <c r="F208" s="817"/>
      <c r="G208" s="852" t="s">
        <v>515</v>
      </c>
      <c r="H208" s="46"/>
      <c r="I208" s="47"/>
      <c r="J208" s="38">
        <f t="shared" si="57"/>
        <v>0</v>
      </c>
      <c r="K208" s="812"/>
      <c r="L208" s="309"/>
      <c r="M208" s="223"/>
      <c r="N208" s="55"/>
      <c r="O208" s="42"/>
      <c r="P208" s="52"/>
    </row>
    <row r="209" spans="1:16" ht="15.75" customHeight="1">
      <c r="A209" s="226">
        <v>8</v>
      </c>
      <c r="B209" s="61" t="s">
        <v>521</v>
      </c>
      <c r="C209" s="85" t="s">
        <v>522</v>
      </c>
      <c r="D209" s="62" t="s">
        <v>523</v>
      </c>
      <c r="E209" s="756"/>
      <c r="F209" s="816"/>
      <c r="G209" s="839" t="s">
        <v>524</v>
      </c>
      <c r="H209" s="36" t="s">
        <v>39</v>
      </c>
      <c r="I209" s="37">
        <v>40</v>
      </c>
      <c r="J209" s="38">
        <f t="shared" si="57"/>
        <v>0</v>
      </c>
      <c r="K209" s="805"/>
      <c r="L209" s="300">
        <f>K209/72</f>
        <v>0</v>
      </c>
      <c r="M209" s="40">
        <f>I209*K209</f>
        <v>0</v>
      </c>
      <c r="N209" s="55">
        <v>29.85</v>
      </c>
      <c r="O209" s="42">
        <f>(K209-N209)/N209</f>
        <v>-1</v>
      </c>
      <c r="P209" s="43">
        <v>29.6</v>
      </c>
    </row>
    <row r="210" spans="1:16" ht="16.5" customHeight="1">
      <c r="A210" s="31"/>
      <c r="B210" s="61"/>
      <c r="C210" s="230" t="s">
        <v>525</v>
      </c>
      <c r="D210" s="112"/>
      <c r="E210" s="756"/>
      <c r="F210" s="816"/>
      <c r="G210" s="852" t="s">
        <v>515</v>
      </c>
      <c r="H210" s="46"/>
      <c r="I210" s="47"/>
      <c r="J210" s="38">
        <f t="shared" si="57"/>
        <v>0</v>
      </c>
      <c r="K210" s="805"/>
      <c r="L210" s="309"/>
      <c r="M210" s="223"/>
      <c r="N210" s="55"/>
      <c r="O210" s="42"/>
      <c r="P210" s="52"/>
    </row>
    <row r="211" spans="1:16" ht="15.75">
      <c r="A211" s="226">
        <v>9</v>
      </c>
      <c r="B211" s="53" t="s">
        <v>526</v>
      </c>
      <c r="C211" s="165" t="s">
        <v>527</v>
      </c>
      <c r="D211" s="166" t="s">
        <v>528</v>
      </c>
      <c r="E211" s="753"/>
      <c r="F211" s="815"/>
      <c r="G211" s="839" t="s">
        <v>529</v>
      </c>
      <c r="H211" s="36" t="s">
        <v>39</v>
      </c>
      <c r="I211" s="37">
        <v>50</v>
      </c>
      <c r="J211" s="88">
        <f t="shared" si="57"/>
        <v>0</v>
      </c>
      <c r="K211" s="811"/>
      <c r="L211" s="136">
        <f>K211/60</f>
        <v>0</v>
      </c>
      <c r="M211" s="40">
        <f t="shared" ref="M211:M212" si="59">I211*K211</f>
        <v>0</v>
      </c>
      <c r="N211" s="55">
        <v>22.75</v>
      </c>
      <c r="O211" s="42">
        <f t="shared" ref="O211:O212" si="60">(K211-N211)/N211</f>
        <v>-1</v>
      </c>
      <c r="P211" s="43">
        <v>21.99</v>
      </c>
    </row>
    <row r="212" spans="1:16" ht="15.75">
      <c r="A212" s="305">
        <v>10</v>
      </c>
      <c r="B212" s="544" t="s">
        <v>530</v>
      </c>
      <c r="C212" s="108" t="s">
        <v>531</v>
      </c>
      <c r="D212" s="170" t="s">
        <v>532</v>
      </c>
      <c r="E212" s="753"/>
      <c r="F212" s="815"/>
      <c r="G212" s="839" t="s">
        <v>533</v>
      </c>
      <c r="H212" s="36" t="s">
        <v>39</v>
      </c>
      <c r="I212" s="37">
        <v>90</v>
      </c>
      <c r="J212" s="88">
        <f t="shared" si="57"/>
        <v>0</v>
      </c>
      <c r="K212" s="811"/>
      <c r="L212" s="136">
        <f>K212/62.667</f>
        <v>0</v>
      </c>
      <c r="M212" s="40">
        <f t="shared" si="59"/>
        <v>0</v>
      </c>
      <c r="N212" s="55">
        <v>17.37</v>
      </c>
      <c r="O212" s="42">
        <f t="shared" si="60"/>
        <v>-1</v>
      </c>
      <c r="P212" s="43">
        <v>16.989999999999998</v>
      </c>
    </row>
    <row r="213" spans="1:16" ht="16.5" customHeight="1">
      <c r="A213" s="96"/>
      <c r="B213" s="545"/>
      <c r="C213" s="230" t="s">
        <v>534</v>
      </c>
      <c r="D213" s="180" t="s">
        <v>535</v>
      </c>
      <c r="E213" s="754"/>
      <c r="F213" s="817"/>
      <c r="G213" s="852" t="s">
        <v>515</v>
      </c>
      <c r="H213" s="46"/>
      <c r="I213" s="47"/>
      <c r="J213" s="181">
        <f t="shared" si="57"/>
        <v>0</v>
      </c>
      <c r="K213" s="812"/>
      <c r="L213" s="177" t="s">
        <v>536</v>
      </c>
      <c r="M213" s="89"/>
      <c r="N213" s="55"/>
      <c r="O213" s="51"/>
      <c r="P213" s="52"/>
    </row>
    <row r="214" spans="1:16" ht="16.5" customHeight="1">
      <c r="A214" s="310">
        <v>11</v>
      </c>
      <c r="B214" s="61" t="s">
        <v>537</v>
      </c>
      <c r="C214" s="172" t="s">
        <v>538</v>
      </c>
      <c r="D214" s="129" t="s">
        <v>539</v>
      </c>
      <c r="E214" s="775"/>
      <c r="F214" s="816"/>
      <c r="G214" s="851" t="s">
        <v>540</v>
      </c>
      <c r="H214" s="113" t="s">
        <v>39</v>
      </c>
      <c r="I214" s="64">
        <v>40</v>
      </c>
      <c r="J214" s="183">
        <f t="shared" si="57"/>
        <v>0</v>
      </c>
      <c r="K214" s="813"/>
      <c r="L214" s="308">
        <f>K214/72</f>
        <v>0</v>
      </c>
      <c r="M214" s="58">
        <f>I214*K214</f>
        <v>0</v>
      </c>
      <c r="N214" s="55">
        <v>30.05</v>
      </c>
      <c r="O214" s="42">
        <f>(K214-N214)/N214</f>
        <v>-1</v>
      </c>
      <c r="P214" s="52">
        <v>29.8</v>
      </c>
    </row>
    <row r="215" spans="1:16" ht="16.5" customHeight="1">
      <c r="A215" s="311"/>
      <c r="B215" s="61"/>
      <c r="C215" s="172" t="s">
        <v>541</v>
      </c>
      <c r="D215" s="112"/>
      <c r="E215" s="756"/>
      <c r="F215" s="816"/>
      <c r="G215" s="851" t="s">
        <v>515</v>
      </c>
      <c r="H215" s="113"/>
      <c r="I215" s="64"/>
      <c r="J215" s="38">
        <f t="shared" si="57"/>
        <v>0</v>
      </c>
      <c r="K215" s="813"/>
      <c r="L215" s="301"/>
      <c r="M215" s="219"/>
      <c r="N215" s="55"/>
      <c r="O215" s="51"/>
      <c r="P215" s="52"/>
    </row>
    <row r="216" spans="1:16" ht="16.5" customHeight="1">
      <c r="A216" s="31"/>
      <c r="B216" s="115"/>
      <c r="C216" s="109" t="s">
        <v>542</v>
      </c>
      <c r="D216" s="110"/>
      <c r="E216" s="752"/>
      <c r="F216" s="817"/>
      <c r="G216" s="852"/>
      <c r="H216" s="46"/>
      <c r="I216" s="47"/>
      <c r="J216" s="38">
        <f t="shared" si="57"/>
        <v>0</v>
      </c>
      <c r="K216" s="812"/>
      <c r="L216" s="309"/>
      <c r="M216" s="223"/>
      <c r="N216" s="55"/>
      <c r="O216" s="51"/>
      <c r="P216" s="52"/>
    </row>
    <row r="217" spans="1:16" ht="16.5" customHeight="1">
      <c r="A217" s="226">
        <v>12</v>
      </c>
      <c r="B217" s="53" t="s">
        <v>543</v>
      </c>
      <c r="C217" s="108" t="s">
        <v>544</v>
      </c>
      <c r="D217" s="129" t="s">
        <v>545</v>
      </c>
      <c r="E217" s="748"/>
      <c r="F217" s="815"/>
      <c r="G217" s="839" t="s">
        <v>546</v>
      </c>
      <c r="H217" s="36" t="s">
        <v>39</v>
      </c>
      <c r="I217" s="37">
        <v>42</v>
      </c>
      <c r="J217" s="38">
        <f t="shared" si="57"/>
        <v>0</v>
      </c>
      <c r="K217" s="805"/>
      <c r="L217" s="300">
        <f>K217/72</f>
        <v>0</v>
      </c>
      <c r="M217" s="40">
        <f>I217*K217</f>
        <v>0</v>
      </c>
      <c r="N217" s="55">
        <v>21.26</v>
      </c>
      <c r="O217" s="42">
        <f>(K217-N217)/N217</f>
        <v>-1</v>
      </c>
      <c r="P217" s="43">
        <v>22.86</v>
      </c>
    </row>
    <row r="218" spans="1:16" ht="16.5" customHeight="1">
      <c r="A218" s="31"/>
      <c r="B218" s="115"/>
      <c r="C218" s="158" t="s">
        <v>547</v>
      </c>
      <c r="D218" s="110"/>
      <c r="E218" s="752"/>
      <c r="F218" s="817"/>
      <c r="G218" s="852" t="s">
        <v>515</v>
      </c>
      <c r="H218" s="46"/>
      <c r="I218" s="47"/>
      <c r="J218" s="38">
        <f t="shared" si="57"/>
        <v>0</v>
      </c>
      <c r="K218" s="805"/>
      <c r="L218" s="309" t="s">
        <v>548</v>
      </c>
      <c r="M218" s="89"/>
      <c r="N218" s="55"/>
      <c r="O218" s="51"/>
      <c r="P218" s="52"/>
    </row>
    <row r="219" spans="1:16" ht="16.5" customHeight="1">
      <c r="A219" s="31"/>
      <c r="B219" s="53"/>
      <c r="C219" s="114" t="s">
        <v>549</v>
      </c>
      <c r="D219" s="54" t="s">
        <v>550</v>
      </c>
      <c r="E219" s="748"/>
      <c r="F219" s="815"/>
      <c r="G219" s="839" t="s">
        <v>551</v>
      </c>
      <c r="H219" s="36"/>
      <c r="I219" s="37"/>
      <c r="J219" s="38">
        <f t="shared" si="57"/>
        <v>0</v>
      </c>
      <c r="K219" s="836"/>
      <c r="L219" s="300"/>
      <c r="M219" s="40"/>
      <c r="N219" s="312">
        <v>36.93</v>
      </c>
      <c r="O219" s="42">
        <f>(K219-N219)/N219</f>
        <v>-1</v>
      </c>
      <c r="P219" s="43">
        <v>36.93</v>
      </c>
    </row>
    <row r="220" spans="1:16" ht="16.5" customHeight="1">
      <c r="A220" s="226">
        <v>13</v>
      </c>
      <c r="B220" s="61" t="s">
        <v>552</v>
      </c>
      <c r="C220" s="313" t="s">
        <v>553</v>
      </c>
      <c r="D220" s="112"/>
      <c r="E220" s="756"/>
      <c r="F220" s="816"/>
      <c r="G220" s="851" t="s">
        <v>554</v>
      </c>
      <c r="H220" s="113" t="s">
        <v>39</v>
      </c>
      <c r="I220" s="64">
        <v>15</v>
      </c>
      <c r="J220" s="38">
        <f t="shared" si="57"/>
        <v>0</v>
      </c>
      <c r="K220" s="813"/>
      <c r="L220" s="301">
        <f t="shared" ref="L220:L223" si="61">K220/120</f>
        <v>0</v>
      </c>
      <c r="M220" s="58">
        <f t="shared" ref="M220:M224" si="62">I220*K220</f>
        <v>0</v>
      </c>
      <c r="N220" s="55">
        <v>36.93</v>
      </c>
      <c r="O220" s="51"/>
      <c r="P220" s="52">
        <v>36.93</v>
      </c>
    </row>
    <row r="221" spans="1:16" ht="16.5" customHeight="1">
      <c r="A221" s="226">
        <v>14</v>
      </c>
      <c r="B221" s="61"/>
      <c r="C221" s="172" t="s">
        <v>555</v>
      </c>
      <c r="D221" s="112"/>
      <c r="E221" s="756"/>
      <c r="F221" s="816"/>
      <c r="G221" s="851" t="s">
        <v>556</v>
      </c>
      <c r="H221" s="113"/>
      <c r="I221" s="64">
        <v>17</v>
      </c>
      <c r="J221" s="38">
        <f t="shared" si="57"/>
        <v>0</v>
      </c>
      <c r="K221" s="813"/>
      <c r="L221" s="301">
        <f t="shared" si="61"/>
        <v>0</v>
      </c>
      <c r="M221" s="58">
        <f t="shared" si="62"/>
        <v>0</v>
      </c>
      <c r="N221" s="55">
        <v>36.93</v>
      </c>
      <c r="O221" s="42">
        <f>(K221-N221)/N221</f>
        <v>-1</v>
      </c>
      <c r="P221" s="52">
        <v>36.93</v>
      </c>
    </row>
    <row r="222" spans="1:16" ht="16.5" customHeight="1">
      <c r="A222" s="226">
        <v>15</v>
      </c>
      <c r="B222" s="61"/>
      <c r="C222" s="123" t="s">
        <v>557</v>
      </c>
      <c r="D222" s="112"/>
      <c r="E222" s="756"/>
      <c r="F222" s="816"/>
      <c r="G222" s="851" t="s">
        <v>558</v>
      </c>
      <c r="H222" s="113"/>
      <c r="I222" s="64">
        <v>25</v>
      </c>
      <c r="J222" s="38">
        <f t="shared" si="57"/>
        <v>0</v>
      </c>
      <c r="K222" s="813"/>
      <c r="L222" s="301">
        <f t="shared" si="61"/>
        <v>0</v>
      </c>
      <c r="M222" s="58">
        <f t="shared" si="62"/>
        <v>0</v>
      </c>
      <c r="N222" s="55">
        <v>36.93</v>
      </c>
      <c r="O222" s="51"/>
      <c r="P222" s="52">
        <v>36.93</v>
      </c>
    </row>
    <row r="223" spans="1:16" ht="16.5" customHeight="1">
      <c r="A223" s="226">
        <v>16</v>
      </c>
      <c r="B223" s="115"/>
      <c r="C223" s="158" t="s">
        <v>559</v>
      </c>
      <c r="D223" s="110"/>
      <c r="E223" s="752"/>
      <c r="F223" s="817"/>
      <c r="G223" s="851" t="s">
        <v>560</v>
      </c>
      <c r="H223" s="46"/>
      <c r="I223" s="47">
        <v>15</v>
      </c>
      <c r="J223" s="38">
        <f t="shared" si="57"/>
        <v>0</v>
      </c>
      <c r="K223" s="812"/>
      <c r="L223" s="301">
        <f t="shared" si="61"/>
        <v>0</v>
      </c>
      <c r="M223" s="58">
        <f t="shared" si="62"/>
        <v>0</v>
      </c>
      <c r="N223" s="55">
        <v>36.93</v>
      </c>
      <c r="O223" s="42">
        <f t="shared" ref="O223:O224" si="63">(K223-N223)/N223</f>
        <v>-1</v>
      </c>
      <c r="P223" s="52">
        <v>36.93</v>
      </c>
    </row>
    <row r="224" spans="1:16" ht="16.5" customHeight="1">
      <c r="A224" s="226">
        <v>17</v>
      </c>
      <c r="B224" s="53" t="s">
        <v>561</v>
      </c>
      <c r="C224" s="108" t="s">
        <v>562</v>
      </c>
      <c r="D224" s="124" t="s">
        <v>563</v>
      </c>
      <c r="E224" s="748"/>
      <c r="F224" s="815"/>
      <c r="G224" s="839" t="s">
        <v>564</v>
      </c>
      <c r="H224" s="36" t="s">
        <v>39</v>
      </c>
      <c r="I224" s="37">
        <v>15</v>
      </c>
      <c r="J224" s="38">
        <f t="shared" si="57"/>
        <v>0</v>
      </c>
      <c r="K224" s="805"/>
      <c r="L224" s="300">
        <f>K224/72</f>
        <v>0</v>
      </c>
      <c r="M224" s="40">
        <f t="shared" si="62"/>
        <v>0</v>
      </c>
      <c r="N224" s="55">
        <v>36.229999999999997</v>
      </c>
      <c r="O224" s="42">
        <f t="shared" si="63"/>
        <v>-1</v>
      </c>
      <c r="P224" s="43">
        <v>38.96</v>
      </c>
    </row>
    <row r="225" spans="1:16" ht="16.5" customHeight="1">
      <c r="A225" s="31"/>
      <c r="B225" s="115"/>
      <c r="C225" s="230" t="s">
        <v>565</v>
      </c>
      <c r="D225" s="110"/>
      <c r="E225" s="752"/>
      <c r="F225" s="817"/>
      <c r="G225" s="852" t="s">
        <v>515</v>
      </c>
      <c r="H225" s="46"/>
      <c r="I225" s="47"/>
      <c r="J225" s="38">
        <f t="shared" si="57"/>
        <v>0</v>
      </c>
      <c r="K225" s="805"/>
      <c r="L225" s="309" t="s">
        <v>548</v>
      </c>
      <c r="M225" s="223"/>
      <c r="N225" s="55"/>
      <c r="O225" s="42"/>
      <c r="P225" s="52"/>
    </row>
    <row r="226" spans="1:16" ht="16.5" customHeight="1">
      <c r="A226" s="226">
        <v>18</v>
      </c>
      <c r="B226" s="53" t="s">
        <v>566</v>
      </c>
      <c r="C226" s="108" t="s">
        <v>567</v>
      </c>
      <c r="D226" s="129" t="s">
        <v>568</v>
      </c>
      <c r="E226" s="748"/>
      <c r="F226" s="815"/>
      <c r="G226" s="839" t="s">
        <v>569</v>
      </c>
      <c r="H226" s="36" t="s">
        <v>39</v>
      </c>
      <c r="I226" s="37">
        <v>150</v>
      </c>
      <c r="J226" s="38">
        <f t="shared" si="57"/>
        <v>0</v>
      </c>
      <c r="K226" s="811"/>
      <c r="L226" s="300">
        <f>K226/48</f>
        <v>0</v>
      </c>
      <c r="M226" s="40">
        <f>I226*K226</f>
        <v>0</v>
      </c>
      <c r="N226" s="55">
        <v>19.739999999999998</v>
      </c>
      <c r="O226" s="42">
        <f>(K226-N226)/N226</f>
        <v>-1</v>
      </c>
      <c r="P226" s="43">
        <v>19.91</v>
      </c>
    </row>
    <row r="227" spans="1:16" ht="16.5" customHeight="1">
      <c r="A227" s="31"/>
      <c r="B227" s="115"/>
      <c r="C227" s="230" t="s">
        <v>570</v>
      </c>
      <c r="D227" s="110"/>
      <c r="E227" s="752"/>
      <c r="F227" s="817"/>
      <c r="G227" s="852" t="s">
        <v>515</v>
      </c>
      <c r="H227" s="46"/>
      <c r="I227" s="47"/>
      <c r="J227" s="38">
        <f t="shared" si="57"/>
        <v>0</v>
      </c>
      <c r="K227" s="812"/>
      <c r="L227" s="309" t="s">
        <v>571</v>
      </c>
      <c r="M227" s="223"/>
      <c r="N227" s="55"/>
      <c r="O227" s="51"/>
      <c r="P227" s="52"/>
    </row>
    <row r="228" spans="1:16" ht="16.5" customHeight="1">
      <c r="A228" s="226">
        <v>19</v>
      </c>
      <c r="B228" s="119" t="s">
        <v>572</v>
      </c>
      <c r="C228" s="314" t="s">
        <v>573</v>
      </c>
      <c r="D228" s="129" t="s">
        <v>574</v>
      </c>
      <c r="E228" s="757"/>
      <c r="F228" s="819"/>
      <c r="G228" s="854" t="s">
        <v>575</v>
      </c>
      <c r="H228" s="120" t="s">
        <v>39</v>
      </c>
      <c r="I228" s="121">
        <v>32</v>
      </c>
      <c r="J228" s="38">
        <f t="shared" si="57"/>
        <v>0</v>
      </c>
      <c r="K228" s="805"/>
      <c r="L228" s="315">
        <f>K228/130</f>
        <v>0</v>
      </c>
      <c r="M228" s="122">
        <f>I228*K228</f>
        <v>0</v>
      </c>
      <c r="N228" s="55">
        <v>18.95</v>
      </c>
      <c r="O228" s="42">
        <f t="shared" ref="O228:O231" si="64">(K228-N228)/N228</f>
        <v>-1</v>
      </c>
      <c r="P228" s="43">
        <v>19.45</v>
      </c>
    </row>
    <row r="229" spans="1:16" ht="16.5" customHeight="1">
      <c r="A229" s="226">
        <v>20</v>
      </c>
      <c r="B229" s="53" t="s">
        <v>576</v>
      </c>
      <c r="C229" s="135" t="s">
        <v>577</v>
      </c>
      <c r="D229" s="54" t="s">
        <v>578</v>
      </c>
      <c r="E229" s="753"/>
      <c r="F229" s="815"/>
      <c r="G229" s="839" t="s">
        <v>579</v>
      </c>
      <c r="H229" s="36" t="s">
        <v>39</v>
      </c>
      <c r="I229" s="316">
        <v>15</v>
      </c>
      <c r="J229" s="88">
        <f t="shared" si="57"/>
        <v>0</v>
      </c>
      <c r="K229" s="811"/>
      <c r="L229" s="317">
        <f t="shared" ref="L229:L231" si="65">K229/96</f>
        <v>0</v>
      </c>
      <c r="M229" s="40">
        <f t="shared" ref="M229:M233" si="66">K229*I229</f>
        <v>0</v>
      </c>
      <c r="N229" s="55">
        <v>23.87</v>
      </c>
      <c r="O229" s="42">
        <f t="shared" si="64"/>
        <v>-1</v>
      </c>
      <c r="P229" s="43">
        <v>23.87</v>
      </c>
    </row>
    <row r="230" spans="1:16" ht="16.5" customHeight="1">
      <c r="A230" s="305">
        <v>21</v>
      </c>
      <c r="B230" s="119" t="s">
        <v>580</v>
      </c>
      <c r="C230" s="318" t="s">
        <v>581</v>
      </c>
      <c r="D230" s="319" t="s">
        <v>578</v>
      </c>
      <c r="E230" s="757"/>
      <c r="F230" s="819"/>
      <c r="G230" s="854" t="s">
        <v>582</v>
      </c>
      <c r="H230" s="120" t="s">
        <v>39</v>
      </c>
      <c r="I230" s="320">
        <v>180</v>
      </c>
      <c r="J230" s="127">
        <f t="shared" si="57"/>
        <v>0</v>
      </c>
      <c r="K230" s="837"/>
      <c r="L230" s="321">
        <f t="shared" si="65"/>
        <v>0</v>
      </c>
      <c r="M230" s="122">
        <f t="shared" si="66"/>
        <v>0</v>
      </c>
      <c r="N230" s="55">
        <v>28.25</v>
      </c>
      <c r="O230" s="42">
        <f t="shared" si="64"/>
        <v>-1</v>
      </c>
      <c r="P230" s="43">
        <v>28.25</v>
      </c>
    </row>
    <row r="231" spans="1:16" ht="16.5" customHeight="1">
      <c r="A231" s="305">
        <v>22</v>
      </c>
      <c r="B231" s="119" t="s">
        <v>583</v>
      </c>
      <c r="C231" s="318" t="s">
        <v>584</v>
      </c>
      <c r="D231" s="159" t="s">
        <v>585</v>
      </c>
      <c r="E231" s="757"/>
      <c r="F231" s="819"/>
      <c r="G231" s="854" t="s">
        <v>586</v>
      </c>
      <c r="H231" s="120" t="s">
        <v>39</v>
      </c>
      <c r="I231" s="320">
        <v>10</v>
      </c>
      <c r="J231" s="127">
        <f t="shared" si="57"/>
        <v>0</v>
      </c>
      <c r="K231" s="810"/>
      <c r="L231" s="321">
        <f t="shared" si="65"/>
        <v>0</v>
      </c>
      <c r="M231" s="122">
        <f t="shared" si="66"/>
        <v>0</v>
      </c>
      <c r="N231" s="55">
        <v>23.87</v>
      </c>
      <c r="O231" s="42">
        <f t="shared" si="64"/>
        <v>-1</v>
      </c>
      <c r="P231" s="43">
        <v>23.87</v>
      </c>
    </row>
    <row r="232" spans="1:16" ht="15.75" customHeight="1">
      <c r="A232" s="226">
        <v>23</v>
      </c>
      <c r="B232" s="61" t="s">
        <v>587</v>
      </c>
      <c r="C232" s="141" t="s">
        <v>588</v>
      </c>
      <c r="D232" s="102" t="s">
        <v>589</v>
      </c>
      <c r="E232" s="775"/>
      <c r="F232" s="816"/>
      <c r="G232" s="851" t="s">
        <v>590</v>
      </c>
      <c r="H232" s="113" t="s">
        <v>591</v>
      </c>
      <c r="I232" s="64">
        <v>20</v>
      </c>
      <c r="J232" s="38"/>
      <c r="K232" s="805"/>
      <c r="L232" s="308">
        <f t="shared" ref="L232:L233" si="67">K232/125</f>
        <v>0</v>
      </c>
      <c r="M232" s="58">
        <f t="shared" si="66"/>
        <v>0</v>
      </c>
      <c r="N232" s="55">
        <v>24.75</v>
      </c>
      <c r="O232" s="42"/>
      <c r="P232" s="52"/>
    </row>
    <row r="233" spans="1:16" ht="15.75" customHeight="1">
      <c r="A233" s="226">
        <v>24</v>
      </c>
      <c r="B233" s="61"/>
      <c r="C233" s="141" t="s">
        <v>592</v>
      </c>
      <c r="D233" s="171" t="s">
        <v>593</v>
      </c>
      <c r="E233" s="756"/>
      <c r="F233" s="816"/>
      <c r="G233" s="851" t="s">
        <v>594</v>
      </c>
      <c r="H233" s="113" t="s">
        <v>591</v>
      </c>
      <c r="I233" s="64">
        <v>20</v>
      </c>
      <c r="J233" s="38"/>
      <c r="K233" s="805"/>
      <c r="L233" s="304">
        <f t="shared" si="67"/>
        <v>0</v>
      </c>
      <c r="M233" s="58">
        <f t="shared" si="66"/>
        <v>0</v>
      </c>
      <c r="N233" s="55">
        <v>23.98</v>
      </c>
      <c r="O233" s="42"/>
      <c r="P233" s="52"/>
    </row>
    <row r="234" spans="1:16" ht="15.75" customHeight="1">
      <c r="A234" s="226">
        <v>25</v>
      </c>
      <c r="B234" s="53" t="s">
        <v>595</v>
      </c>
      <c r="C234" s="164" t="s">
        <v>596</v>
      </c>
      <c r="D234" s="322" t="s">
        <v>597</v>
      </c>
      <c r="E234" s="748"/>
      <c r="F234" s="815"/>
      <c r="G234" s="839" t="s">
        <v>598</v>
      </c>
      <c r="H234" s="36" t="s">
        <v>39</v>
      </c>
      <c r="I234" s="37">
        <v>28</v>
      </c>
      <c r="J234" s="193">
        <f t="shared" ref="J234:J259" si="68">(K234*8%)+K234</f>
        <v>0</v>
      </c>
      <c r="K234" s="811"/>
      <c r="L234" s="136">
        <f t="shared" ref="L234:L235" si="69">K234/96</f>
        <v>0</v>
      </c>
      <c r="M234" s="40">
        <f t="shared" ref="M234:M238" si="70">I234*K234</f>
        <v>0</v>
      </c>
      <c r="N234" s="55">
        <v>27.1</v>
      </c>
      <c r="O234" s="42">
        <f t="shared" ref="O234:O238" si="71">(K234-N234)/N234</f>
        <v>-1</v>
      </c>
      <c r="P234" s="43">
        <v>27.1</v>
      </c>
    </row>
    <row r="235" spans="1:16" ht="16.5" customHeight="1">
      <c r="A235" s="226">
        <v>26</v>
      </c>
      <c r="B235" s="61"/>
      <c r="C235" s="141" t="s">
        <v>599</v>
      </c>
      <c r="D235" s="323" t="s">
        <v>600</v>
      </c>
      <c r="E235" s="756"/>
      <c r="F235" s="816"/>
      <c r="G235" s="851" t="s">
        <v>601</v>
      </c>
      <c r="H235" s="113"/>
      <c r="I235" s="64">
        <v>24</v>
      </c>
      <c r="J235" s="193">
        <f t="shared" si="68"/>
        <v>0</v>
      </c>
      <c r="K235" s="813"/>
      <c r="L235" s="143">
        <f t="shared" si="69"/>
        <v>0</v>
      </c>
      <c r="M235" s="58">
        <f t="shared" si="70"/>
        <v>0</v>
      </c>
      <c r="N235" s="55">
        <v>28.1</v>
      </c>
      <c r="O235" s="42">
        <f t="shared" si="71"/>
        <v>-1</v>
      </c>
      <c r="P235" s="43">
        <v>28.1</v>
      </c>
    </row>
    <row r="236" spans="1:16" ht="16.5" customHeight="1">
      <c r="A236" s="226">
        <v>27</v>
      </c>
      <c r="B236" s="61" t="s">
        <v>602</v>
      </c>
      <c r="C236" s="141" t="s">
        <v>603</v>
      </c>
      <c r="D236" s="322" t="s">
        <v>604</v>
      </c>
      <c r="E236" s="756"/>
      <c r="F236" s="816"/>
      <c r="G236" s="851" t="s">
        <v>605</v>
      </c>
      <c r="H236" s="113" t="s">
        <v>39</v>
      </c>
      <c r="I236" s="64">
        <v>2</v>
      </c>
      <c r="J236" s="193">
        <f t="shared" si="68"/>
        <v>0</v>
      </c>
      <c r="K236" s="813"/>
      <c r="L236" s="143">
        <f t="shared" ref="L236:L237" si="72">K236/600</f>
        <v>0</v>
      </c>
      <c r="M236" s="58">
        <f t="shared" si="70"/>
        <v>0</v>
      </c>
      <c r="N236" s="55">
        <v>81.5</v>
      </c>
      <c r="O236" s="42">
        <f t="shared" si="71"/>
        <v>-1</v>
      </c>
      <c r="P236" s="43">
        <v>81.5</v>
      </c>
    </row>
    <row r="237" spans="1:16" ht="24">
      <c r="A237" s="226">
        <v>28</v>
      </c>
      <c r="B237" s="61" t="s">
        <v>606</v>
      </c>
      <c r="C237" s="213" t="s">
        <v>607</v>
      </c>
      <c r="D237" s="168" t="s">
        <v>604</v>
      </c>
      <c r="E237" s="752"/>
      <c r="F237" s="817"/>
      <c r="G237" s="852" t="s">
        <v>608</v>
      </c>
      <c r="H237" s="46" t="s">
        <v>39</v>
      </c>
      <c r="I237" s="47">
        <v>2</v>
      </c>
      <c r="J237" s="193">
        <f t="shared" si="68"/>
        <v>0</v>
      </c>
      <c r="K237" s="812"/>
      <c r="L237" s="177">
        <f t="shared" si="72"/>
        <v>0</v>
      </c>
      <c r="M237" s="89">
        <f t="shared" si="70"/>
        <v>0</v>
      </c>
      <c r="N237" s="55">
        <v>81.5</v>
      </c>
      <c r="O237" s="42">
        <f t="shared" si="71"/>
        <v>-1</v>
      </c>
      <c r="P237" s="43">
        <v>81.5</v>
      </c>
    </row>
    <row r="238" spans="1:16" ht="15.75">
      <c r="A238" s="226"/>
      <c r="B238" s="53" t="s">
        <v>595</v>
      </c>
      <c r="C238" s="324" t="s">
        <v>609</v>
      </c>
      <c r="D238" s="102" t="s">
        <v>610</v>
      </c>
      <c r="E238" s="748"/>
      <c r="F238" s="815"/>
      <c r="G238" s="839" t="s">
        <v>611</v>
      </c>
      <c r="H238" s="36" t="s">
        <v>39</v>
      </c>
      <c r="I238" s="37">
        <f>SUM(I239:I242)</f>
        <v>72</v>
      </c>
      <c r="J238" s="38">
        <f t="shared" si="68"/>
        <v>0</v>
      </c>
      <c r="K238" s="805"/>
      <c r="L238" s="308">
        <f>K238/96</f>
        <v>0</v>
      </c>
      <c r="M238" s="58">
        <f t="shared" si="70"/>
        <v>0</v>
      </c>
      <c r="N238" s="55">
        <v>26.99</v>
      </c>
      <c r="O238" s="42">
        <f t="shared" si="71"/>
        <v>-1</v>
      </c>
      <c r="P238" s="43">
        <v>26.99</v>
      </c>
    </row>
    <row r="239" spans="1:16" ht="16.5" customHeight="1">
      <c r="A239" s="226">
        <v>29</v>
      </c>
      <c r="B239" s="61"/>
      <c r="C239" s="229" t="s">
        <v>612</v>
      </c>
      <c r="D239" s="325" t="s">
        <v>613</v>
      </c>
      <c r="E239" s="756"/>
      <c r="F239" s="816"/>
      <c r="G239" s="851" t="s">
        <v>614</v>
      </c>
      <c r="H239" s="113"/>
      <c r="I239" s="64">
        <v>28</v>
      </c>
      <c r="J239" s="38">
        <f t="shared" si="68"/>
        <v>0</v>
      </c>
      <c r="K239" s="805"/>
      <c r="L239" s="301"/>
      <c r="M239" s="58"/>
      <c r="N239" s="55">
        <v>26.99</v>
      </c>
      <c r="O239" s="51"/>
      <c r="P239" s="52"/>
    </row>
    <row r="240" spans="1:16" ht="16.5" customHeight="1">
      <c r="A240" s="226">
        <v>30</v>
      </c>
      <c r="B240" s="61"/>
      <c r="C240" s="172"/>
      <c r="D240" s="325" t="s">
        <v>613</v>
      </c>
      <c r="E240" s="756"/>
      <c r="F240" s="816"/>
      <c r="G240" s="851" t="s">
        <v>615</v>
      </c>
      <c r="H240" s="113"/>
      <c r="I240" s="64">
        <v>9</v>
      </c>
      <c r="J240" s="38">
        <f t="shared" si="68"/>
        <v>0</v>
      </c>
      <c r="K240" s="805"/>
      <c r="L240" s="301"/>
      <c r="M240" s="58"/>
      <c r="N240" s="55">
        <v>26.99</v>
      </c>
      <c r="O240" s="42"/>
      <c r="P240" s="52"/>
    </row>
    <row r="241" spans="1:16" ht="16.5" customHeight="1">
      <c r="A241" s="226">
        <v>31</v>
      </c>
      <c r="B241" s="61"/>
      <c r="C241" s="307"/>
      <c r="D241" s="325" t="s">
        <v>613</v>
      </c>
      <c r="E241" s="756"/>
      <c r="F241" s="816"/>
      <c r="G241" s="851" t="s">
        <v>616</v>
      </c>
      <c r="H241" s="113"/>
      <c r="I241" s="64">
        <v>6</v>
      </c>
      <c r="J241" s="38">
        <f t="shared" si="68"/>
        <v>0</v>
      </c>
      <c r="K241" s="805"/>
      <c r="L241" s="301"/>
      <c r="M241" s="58"/>
      <c r="N241" s="55">
        <v>26.99</v>
      </c>
      <c r="O241" s="51"/>
      <c r="P241" s="52"/>
    </row>
    <row r="242" spans="1:16" ht="16.5" customHeight="1">
      <c r="A242" s="226">
        <v>32</v>
      </c>
      <c r="B242" s="115"/>
      <c r="C242" s="293"/>
      <c r="D242" s="326" t="s">
        <v>613</v>
      </c>
      <c r="E242" s="752"/>
      <c r="F242" s="817"/>
      <c r="G242" s="852" t="s">
        <v>617</v>
      </c>
      <c r="H242" s="46"/>
      <c r="I242" s="47">
        <v>29</v>
      </c>
      <c r="J242" s="38">
        <f t="shared" si="68"/>
        <v>0</v>
      </c>
      <c r="K242" s="805"/>
      <c r="L242" s="309"/>
      <c r="M242" s="89"/>
      <c r="N242" s="55">
        <v>26.99</v>
      </c>
      <c r="O242" s="51"/>
      <c r="P242" s="52"/>
    </row>
    <row r="243" spans="1:16" ht="15.75">
      <c r="A243" s="73"/>
      <c r="B243" s="327" t="s">
        <v>618</v>
      </c>
      <c r="C243" s="172" t="s">
        <v>619</v>
      </c>
      <c r="D243" s="166" t="s">
        <v>620</v>
      </c>
      <c r="E243" s="756"/>
      <c r="F243" s="816"/>
      <c r="G243" s="851" t="s">
        <v>621</v>
      </c>
      <c r="H243" s="113" t="s">
        <v>39</v>
      </c>
      <c r="I243" s="64">
        <f>I244+I245</f>
        <v>38</v>
      </c>
      <c r="J243" s="38">
        <f t="shared" si="68"/>
        <v>0</v>
      </c>
      <c r="K243" s="811"/>
      <c r="L243" s="301">
        <f>K243/108</f>
        <v>0</v>
      </c>
      <c r="M243" s="58">
        <f>K243*I243</f>
        <v>0</v>
      </c>
      <c r="N243" s="55">
        <v>42.24</v>
      </c>
      <c r="O243" s="42">
        <f>(K243-N243)/N243</f>
        <v>-1</v>
      </c>
      <c r="P243" s="52">
        <v>40.299999999999997</v>
      </c>
    </row>
    <row r="244" spans="1:16" ht="15.75">
      <c r="A244" s="226">
        <v>33</v>
      </c>
      <c r="B244" s="327" t="s">
        <v>622</v>
      </c>
      <c r="C244" s="229" t="s">
        <v>623</v>
      </c>
      <c r="D244" s="325" t="s">
        <v>624</v>
      </c>
      <c r="E244" s="756"/>
      <c r="F244" s="816"/>
      <c r="G244" s="851" t="s">
        <v>625</v>
      </c>
      <c r="H244" s="113"/>
      <c r="I244" s="64">
        <v>26</v>
      </c>
      <c r="J244" s="38">
        <f t="shared" si="68"/>
        <v>0</v>
      </c>
      <c r="K244" s="813"/>
      <c r="L244" s="301"/>
      <c r="M244" s="58"/>
      <c r="N244" s="55">
        <v>42.24</v>
      </c>
      <c r="O244" s="51"/>
      <c r="P244" s="52"/>
    </row>
    <row r="245" spans="1:16" ht="16.5" customHeight="1">
      <c r="A245" s="226">
        <v>34</v>
      </c>
      <c r="B245" s="61"/>
      <c r="C245" s="307"/>
      <c r="D245" s="326" t="s">
        <v>624</v>
      </c>
      <c r="E245" s="756"/>
      <c r="F245" s="816"/>
      <c r="G245" s="851" t="s">
        <v>626</v>
      </c>
      <c r="H245" s="113"/>
      <c r="I245" s="64">
        <v>12</v>
      </c>
      <c r="J245" s="38">
        <f t="shared" si="68"/>
        <v>0</v>
      </c>
      <c r="K245" s="812"/>
      <c r="L245" s="301"/>
      <c r="M245" s="58"/>
      <c r="N245" s="55">
        <v>42.24</v>
      </c>
      <c r="O245" s="51"/>
      <c r="P245" s="52"/>
    </row>
    <row r="246" spans="1:16" ht="16.5" customHeight="1">
      <c r="A246" s="31"/>
      <c r="B246" s="53" t="s">
        <v>627</v>
      </c>
      <c r="C246" s="85" t="s">
        <v>628</v>
      </c>
      <c r="D246" s="166" t="s">
        <v>629</v>
      </c>
      <c r="E246" s="748"/>
      <c r="F246" s="815"/>
      <c r="G246" s="839" t="s">
        <v>630</v>
      </c>
      <c r="H246" s="36" t="s">
        <v>39</v>
      </c>
      <c r="I246" s="37">
        <f>I247+I248+I249</f>
        <v>41</v>
      </c>
      <c r="J246" s="38">
        <f t="shared" si="68"/>
        <v>0</v>
      </c>
      <c r="K246" s="805"/>
      <c r="L246" s="300">
        <f>K246/96</f>
        <v>0</v>
      </c>
      <c r="M246" s="40">
        <f>I246*K246</f>
        <v>0</v>
      </c>
      <c r="N246" s="55">
        <v>30.36</v>
      </c>
      <c r="O246" s="42">
        <f>(K246-N246)/N246</f>
        <v>-1</v>
      </c>
      <c r="P246" s="43">
        <v>30.36</v>
      </c>
    </row>
    <row r="247" spans="1:16" ht="16.5" customHeight="1">
      <c r="A247" s="226">
        <v>35</v>
      </c>
      <c r="B247" s="61"/>
      <c r="C247" s="111" t="s">
        <v>631</v>
      </c>
      <c r="D247" s="325" t="s">
        <v>632</v>
      </c>
      <c r="E247" s="756"/>
      <c r="F247" s="816"/>
      <c r="G247" s="851" t="s">
        <v>633</v>
      </c>
      <c r="H247" s="113"/>
      <c r="I247" s="64">
        <v>9</v>
      </c>
      <c r="J247" s="38">
        <f t="shared" si="68"/>
        <v>0</v>
      </c>
      <c r="K247" s="805"/>
      <c r="L247" s="301"/>
      <c r="M247" s="58"/>
      <c r="N247" s="55">
        <v>30.36</v>
      </c>
      <c r="O247" s="42"/>
      <c r="P247" s="52"/>
    </row>
    <row r="248" spans="1:16" ht="16.5" customHeight="1">
      <c r="A248" s="226">
        <v>36</v>
      </c>
      <c r="B248" s="61"/>
      <c r="C248" s="307"/>
      <c r="D248" s="325" t="s">
        <v>632</v>
      </c>
      <c r="E248" s="756"/>
      <c r="F248" s="816"/>
      <c r="G248" s="851" t="s">
        <v>634</v>
      </c>
      <c r="H248" s="113"/>
      <c r="I248" s="64">
        <v>20</v>
      </c>
      <c r="J248" s="38">
        <f t="shared" si="68"/>
        <v>0</v>
      </c>
      <c r="K248" s="805"/>
      <c r="L248" s="301"/>
      <c r="M248" s="58"/>
      <c r="N248" s="55">
        <v>30.36</v>
      </c>
      <c r="O248" s="51"/>
      <c r="P248" s="52"/>
    </row>
    <row r="249" spans="1:16" ht="16.5" customHeight="1">
      <c r="A249" s="226">
        <v>37</v>
      </c>
      <c r="B249" s="115"/>
      <c r="C249" s="328"/>
      <c r="D249" s="329" t="s">
        <v>632</v>
      </c>
      <c r="E249" s="752"/>
      <c r="F249" s="817"/>
      <c r="G249" s="852" t="s">
        <v>635</v>
      </c>
      <c r="H249" s="46"/>
      <c r="I249" s="47">
        <v>12</v>
      </c>
      <c r="J249" s="38">
        <f t="shared" si="68"/>
        <v>0</v>
      </c>
      <c r="K249" s="805"/>
      <c r="L249" s="309"/>
      <c r="M249" s="89"/>
      <c r="N249" s="55">
        <v>30.36</v>
      </c>
      <c r="O249" s="51"/>
      <c r="P249" s="52"/>
    </row>
    <row r="250" spans="1:16" ht="16.5" customHeight="1">
      <c r="A250" s="31"/>
      <c r="B250" s="53" t="s">
        <v>636</v>
      </c>
      <c r="C250" s="85" t="s">
        <v>637</v>
      </c>
      <c r="D250" s="129" t="s">
        <v>638</v>
      </c>
      <c r="E250" s="748"/>
      <c r="F250" s="815"/>
      <c r="G250" s="839" t="s">
        <v>611</v>
      </c>
      <c r="H250" s="36" t="s">
        <v>39</v>
      </c>
      <c r="I250" s="37">
        <f>SUM(I251:I259)</f>
        <v>585</v>
      </c>
      <c r="J250" s="38">
        <f t="shared" si="68"/>
        <v>0</v>
      </c>
      <c r="K250" s="811"/>
      <c r="L250" s="300">
        <f>K250/96</f>
        <v>0</v>
      </c>
      <c r="M250" s="40">
        <f>(I250*K250)</f>
        <v>0</v>
      </c>
      <c r="N250" s="55">
        <v>21.39</v>
      </c>
      <c r="O250" s="42">
        <f>(K250-N250)/N250</f>
        <v>-1</v>
      </c>
      <c r="P250" s="43">
        <v>20.75</v>
      </c>
    </row>
    <row r="251" spans="1:16" ht="16.5" customHeight="1">
      <c r="A251" s="226">
        <v>38</v>
      </c>
      <c r="B251" s="61"/>
      <c r="C251" s="229" t="s">
        <v>639</v>
      </c>
      <c r="D251" s="325" t="s">
        <v>640</v>
      </c>
      <c r="E251" s="756"/>
      <c r="F251" s="816"/>
      <c r="G251" s="851" t="s">
        <v>641</v>
      </c>
      <c r="H251" s="113"/>
      <c r="I251" s="64">
        <v>79</v>
      </c>
      <c r="J251" s="38">
        <f t="shared" si="68"/>
        <v>0</v>
      </c>
      <c r="K251" s="813"/>
      <c r="L251" s="301"/>
      <c r="M251" s="58"/>
      <c r="N251" s="55">
        <v>21.39</v>
      </c>
      <c r="O251" s="51"/>
      <c r="P251" s="52"/>
    </row>
    <row r="252" spans="1:16" ht="16.5" customHeight="1">
      <c r="A252" s="226">
        <v>39</v>
      </c>
      <c r="B252" s="61"/>
      <c r="C252" s="179"/>
      <c r="D252" s="325" t="s">
        <v>640</v>
      </c>
      <c r="E252" s="756"/>
      <c r="F252" s="816"/>
      <c r="G252" s="851" t="s">
        <v>642</v>
      </c>
      <c r="H252" s="113"/>
      <c r="I252" s="64">
        <v>86</v>
      </c>
      <c r="J252" s="38">
        <f t="shared" si="68"/>
        <v>0</v>
      </c>
      <c r="K252" s="813"/>
      <c r="L252" s="301"/>
      <c r="M252" s="58"/>
      <c r="N252" s="55">
        <v>21.39</v>
      </c>
      <c r="O252" s="51"/>
      <c r="P252" s="52"/>
    </row>
    <row r="253" spans="1:16" ht="16.5" customHeight="1">
      <c r="A253" s="226">
        <v>40</v>
      </c>
      <c r="B253" s="61"/>
      <c r="C253" s="307"/>
      <c r="D253" s="325" t="s">
        <v>640</v>
      </c>
      <c r="E253" s="756"/>
      <c r="F253" s="816"/>
      <c r="G253" s="851" t="s">
        <v>643</v>
      </c>
      <c r="H253" s="113"/>
      <c r="I253" s="64">
        <v>33</v>
      </c>
      <c r="J253" s="38">
        <f t="shared" si="68"/>
        <v>0</v>
      </c>
      <c r="K253" s="813"/>
      <c r="L253" s="301"/>
      <c r="M253" s="58"/>
      <c r="N253" s="55">
        <v>21.39</v>
      </c>
      <c r="O253" s="51"/>
      <c r="P253" s="52"/>
    </row>
    <row r="254" spans="1:16" ht="16.5" customHeight="1">
      <c r="A254" s="226">
        <v>41</v>
      </c>
      <c r="B254" s="61"/>
      <c r="C254" s="307"/>
      <c r="D254" s="325" t="s">
        <v>640</v>
      </c>
      <c r="E254" s="756"/>
      <c r="F254" s="816"/>
      <c r="G254" s="851" t="s">
        <v>644</v>
      </c>
      <c r="H254" s="113"/>
      <c r="I254" s="64">
        <v>29</v>
      </c>
      <c r="J254" s="38">
        <f t="shared" si="68"/>
        <v>0</v>
      </c>
      <c r="K254" s="813"/>
      <c r="L254" s="301"/>
      <c r="M254" s="58"/>
      <c r="N254" s="55">
        <v>21.39</v>
      </c>
      <c r="O254" s="51"/>
      <c r="P254" s="52"/>
    </row>
    <row r="255" spans="1:16" ht="16.5" customHeight="1">
      <c r="A255" s="226">
        <v>42</v>
      </c>
      <c r="B255" s="61"/>
      <c r="C255" s="307"/>
      <c r="D255" s="325" t="s">
        <v>640</v>
      </c>
      <c r="E255" s="756"/>
      <c r="F255" s="816"/>
      <c r="G255" s="851" t="s">
        <v>645</v>
      </c>
      <c r="H255" s="113"/>
      <c r="I255" s="64">
        <v>39</v>
      </c>
      <c r="J255" s="38">
        <f t="shared" si="68"/>
        <v>0</v>
      </c>
      <c r="K255" s="813"/>
      <c r="L255" s="301"/>
      <c r="M255" s="58"/>
      <c r="N255" s="55">
        <v>21.39</v>
      </c>
      <c r="O255" s="51"/>
      <c r="P255" s="52"/>
    </row>
    <row r="256" spans="1:16" ht="16.5" customHeight="1">
      <c r="A256" s="226">
        <v>43</v>
      </c>
      <c r="B256" s="61"/>
      <c r="C256" s="307"/>
      <c r="D256" s="325" t="s">
        <v>640</v>
      </c>
      <c r="E256" s="756"/>
      <c r="F256" s="816"/>
      <c r="G256" s="851" t="s">
        <v>646</v>
      </c>
      <c r="H256" s="113"/>
      <c r="I256" s="64">
        <v>72</v>
      </c>
      <c r="J256" s="38">
        <f t="shared" si="68"/>
        <v>0</v>
      </c>
      <c r="K256" s="813"/>
      <c r="L256" s="301"/>
      <c r="M256" s="58"/>
      <c r="N256" s="55">
        <v>21.39</v>
      </c>
      <c r="O256" s="51"/>
      <c r="P256" s="52"/>
    </row>
    <row r="257" spans="1:16" ht="16.5" customHeight="1">
      <c r="A257" s="226">
        <v>44</v>
      </c>
      <c r="B257" s="61"/>
      <c r="C257" s="307"/>
      <c r="D257" s="325" t="s">
        <v>640</v>
      </c>
      <c r="E257" s="756"/>
      <c r="F257" s="816"/>
      <c r="G257" s="851" t="s">
        <v>647</v>
      </c>
      <c r="H257" s="113"/>
      <c r="I257" s="64">
        <v>134</v>
      </c>
      <c r="J257" s="38">
        <f t="shared" si="68"/>
        <v>0</v>
      </c>
      <c r="K257" s="813"/>
      <c r="L257" s="301"/>
      <c r="M257" s="58"/>
      <c r="N257" s="55">
        <v>21.39</v>
      </c>
      <c r="O257" s="42"/>
      <c r="P257" s="52"/>
    </row>
    <row r="258" spans="1:16" ht="16.5" customHeight="1">
      <c r="A258" s="226">
        <v>45</v>
      </c>
      <c r="B258" s="61"/>
      <c r="C258" s="307"/>
      <c r="D258" s="325" t="s">
        <v>640</v>
      </c>
      <c r="E258" s="756"/>
      <c r="F258" s="816"/>
      <c r="G258" s="851" t="s">
        <v>648</v>
      </c>
      <c r="H258" s="113"/>
      <c r="I258" s="64">
        <v>83</v>
      </c>
      <c r="J258" s="38">
        <f t="shared" si="68"/>
        <v>0</v>
      </c>
      <c r="K258" s="813"/>
      <c r="L258" s="301"/>
      <c r="M258" s="58"/>
      <c r="N258" s="55">
        <v>21.39</v>
      </c>
      <c r="O258" s="51"/>
      <c r="P258" s="52"/>
    </row>
    <row r="259" spans="1:16" ht="16.5" customHeight="1">
      <c r="A259" s="226">
        <v>46</v>
      </c>
      <c r="B259" s="115"/>
      <c r="C259" s="328"/>
      <c r="D259" s="326" t="s">
        <v>640</v>
      </c>
      <c r="E259" s="749"/>
      <c r="F259" s="817"/>
      <c r="G259" s="852" t="s">
        <v>649</v>
      </c>
      <c r="H259" s="46"/>
      <c r="I259" s="47">
        <v>30</v>
      </c>
      <c r="J259" s="88">
        <f t="shared" si="68"/>
        <v>0</v>
      </c>
      <c r="K259" s="812"/>
      <c r="L259" s="309"/>
      <c r="M259" s="89"/>
      <c r="N259" s="55">
        <v>21.39</v>
      </c>
      <c r="O259" s="51"/>
      <c r="P259" s="52"/>
    </row>
    <row r="260" spans="1:16" ht="16.5" customHeight="1">
      <c r="A260" s="226">
        <v>47</v>
      </c>
      <c r="B260" s="61" t="s">
        <v>650</v>
      </c>
      <c r="C260" s="172" t="s">
        <v>651</v>
      </c>
      <c r="D260" s="166" t="s">
        <v>652</v>
      </c>
      <c r="E260" s="748"/>
      <c r="F260" s="820"/>
      <c r="G260" s="839" t="s">
        <v>653</v>
      </c>
      <c r="H260" s="36" t="s">
        <v>39</v>
      </c>
      <c r="I260" s="37">
        <v>20</v>
      </c>
      <c r="J260" s="38"/>
      <c r="K260" s="806"/>
      <c r="L260" s="300">
        <f>K260/100</f>
        <v>0</v>
      </c>
      <c r="M260" s="40">
        <f>(I260*K260)</f>
        <v>0</v>
      </c>
      <c r="N260" s="55">
        <v>24.46</v>
      </c>
      <c r="O260" s="42"/>
      <c r="P260" s="52"/>
    </row>
    <row r="261" spans="1:16" ht="16.5" customHeight="1">
      <c r="A261" s="31"/>
      <c r="B261" s="61"/>
      <c r="C261" s="111" t="s">
        <v>654</v>
      </c>
      <c r="D261" s="129" t="s">
        <v>655</v>
      </c>
      <c r="E261" s="756"/>
      <c r="F261" s="821"/>
      <c r="G261" s="851"/>
      <c r="H261" s="113"/>
      <c r="I261" s="64"/>
      <c r="J261" s="38"/>
      <c r="K261" s="805"/>
      <c r="L261" s="301"/>
      <c r="M261" s="58"/>
      <c r="N261" s="55"/>
      <c r="O261" s="42"/>
      <c r="P261" s="52"/>
    </row>
    <row r="262" spans="1:16" ht="16.5" customHeight="1">
      <c r="A262" s="226">
        <v>48</v>
      </c>
      <c r="B262" s="53" t="s">
        <v>656</v>
      </c>
      <c r="C262" s="108" t="s">
        <v>657</v>
      </c>
      <c r="D262" s="227" t="s">
        <v>658</v>
      </c>
      <c r="E262" s="748"/>
      <c r="F262" s="815"/>
      <c r="G262" s="839" t="s">
        <v>659</v>
      </c>
      <c r="H262" s="36" t="s">
        <v>39</v>
      </c>
      <c r="I262" s="37">
        <v>75</v>
      </c>
      <c r="J262" s="38">
        <f t="shared" ref="J262:J339" si="73">(K262*8%)+K262</f>
        <v>0</v>
      </c>
      <c r="K262" s="811"/>
      <c r="L262" s="300">
        <f>K262/240</f>
        <v>0</v>
      </c>
      <c r="M262" s="40">
        <f>I262*K262</f>
        <v>0</v>
      </c>
      <c r="N262" s="55">
        <v>26.6</v>
      </c>
      <c r="O262" s="42">
        <f>(K262-N262)/N262</f>
        <v>-1</v>
      </c>
      <c r="P262" s="43">
        <v>26.6</v>
      </c>
    </row>
    <row r="263" spans="1:16" ht="16.5" customHeight="1">
      <c r="A263" s="31"/>
      <c r="B263" s="61"/>
      <c r="C263" s="123" t="s">
        <v>660</v>
      </c>
      <c r="D263" s="110"/>
      <c r="E263" s="756"/>
      <c r="F263" s="816"/>
      <c r="G263" s="851"/>
      <c r="H263" s="113"/>
      <c r="I263" s="64"/>
      <c r="J263" s="38">
        <f t="shared" si="73"/>
        <v>0</v>
      </c>
      <c r="K263" s="812"/>
      <c r="L263" s="301"/>
      <c r="M263" s="58"/>
      <c r="N263" s="55"/>
      <c r="O263" s="51"/>
      <c r="P263" s="52"/>
    </row>
    <row r="264" spans="1:16" ht="16.5" customHeight="1">
      <c r="A264" s="330">
        <v>49</v>
      </c>
      <c r="B264" s="331" t="s">
        <v>661</v>
      </c>
      <c r="C264" s="332" t="s">
        <v>662</v>
      </c>
      <c r="D264" s="116" t="s">
        <v>663</v>
      </c>
      <c r="E264" s="822"/>
      <c r="F264" s="823"/>
      <c r="G264" s="849" t="s">
        <v>664</v>
      </c>
      <c r="H264" s="331" t="s">
        <v>39</v>
      </c>
      <c r="I264" s="333">
        <v>20</v>
      </c>
      <c r="J264" s="127">
        <f t="shared" si="73"/>
        <v>0</v>
      </c>
      <c r="K264" s="838"/>
      <c r="L264" s="334">
        <f>K264/175</f>
        <v>0</v>
      </c>
      <c r="M264" s="335">
        <f>I264*K264</f>
        <v>0</v>
      </c>
      <c r="N264" s="336">
        <v>33.15</v>
      </c>
      <c r="O264" s="42">
        <f>(K264-N264)/N264</f>
        <v>-1</v>
      </c>
      <c r="P264" s="337">
        <v>33.15</v>
      </c>
    </row>
    <row r="265" spans="1:16" ht="15.75">
      <c r="A265" s="226"/>
      <c r="B265" s="61" t="s">
        <v>665</v>
      </c>
      <c r="C265" s="307" t="s">
        <v>666</v>
      </c>
      <c r="D265" s="129" t="s">
        <v>667</v>
      </c>
      <c r="E265" s="756"/>
      <c r="F265" s="816"/>
      <c r="G265" s="851" t="s">
        <v>668</v>
      </c>
      <c r="H265" s="113" t="s">
        <v>39</v>
      </c>
      <c r="I265" s="64">
        <f>SUM(I267:I268)</f>
        <v>40</v>
      </c>
      <c r="J265" s="130">
        <f t="shared" si="73"/>
        <v>0</v>
      </c>
      <c r="K265" s="811"/>
      <c r="L265" s="301"/>
      <c r="M265" s="58"/>
      <c r="N265" s="55"/>
      <c r="O265" s="42"/>
      <c r="P265" s="43"/>
    </row>
    <row r="266" spans="1:16" ht="16.5" customHeight="1">
      <c r="A266" s="31"/>
      <c r="B266" s="61"/>
      <c r="C266" s="307"/>
      <c r="D266" s="112"/>
      <c r="E266" s="756"/>
      <c r="F266" s="816"/>
      <c r="G266" s="851" t="s">
        <v>42</v>
      </c>
      <c r="H266" s="113"/>
      <c r="I266" s="64"/>
      <c r="J266" s="38">
        <f t="shared" si="73"/>
        <v>0</v>
      </c>
      <c r="K266" s="813"/>
      <c r="L266" s="301"/>
      <c r="M266" s="58"/>
      <c r="N266" s="55"/>
      <c r="O266" s="42"/>
      <c r="P266" s="52"/>
    </row>
    <row r="267" spans="1:16" ht="16.5" customHeight="1">
      <c r="A267" s="226">
        <v>50</v>
      </c>
      <c r="B267" s="61"/>
      <c r="C267" s="179"/>
      <c r="D267" s="325" t="s">
        <v>669</v>
      </c>
      <c r="E267" s="824"/>
      <c r="F267" s="816"/>
      <c r="G267" s="851" t="s">
        <v>670</v>
      </c>
      <c r="H267" s="113"/>
      <c r="I267" s="64">
        <v>20</v>
      </c>
      <c r="J267" s="38">
        <f t="shared" si="73"/>
        <v>0</v>
      </c>
      <c r="K267" s="813"/>
      <c r="L267" s="301">
        <f t="shared" ref="L267:L268" si="74">K267/384</f>
        <v>0</v>
      </c>
      <c r="M267" s="58">
        <f t="shared" ref="M267:M269" si="75">I267*K267</f>
        <v>0</v>
      </c>
      <c r="N267" s="55">
        <v>39.200000000000003</v>
      </c>
      <c r="O267" s="42">
        <f t="shared" ref="O267:O269" si="76">(K267-N267)/N267</f>
        <v>-1</v>
      </c>
      <c r="P267" s="52">
        <v>39.200000000000003</v>
      </c>
    </row>
    <row r="268" spans="1:16" ht="16.5" customHeight="1">
      <c r="A268" s="226">
        <v>51</v>
      </c>
      <c r="B268" s="61"/>
      <c r="C268" s="307"/>
      <c r="D268" s="326" t="s">
        <v>669</v>
      </c>
      <c r="E268" s="824"/>
      <c r="F268" s="816"/>
      <c r="G268" s="851" t="s">
        <v>671</v>
      </c>
      <c r="H268" s="113"/>
      <c r="I268" s="64">
        <v>20</v>
      </c>
      <c r="J268" s="38">
        <f t="shared" si="73"/>
        <v>0</v>
      </c>
      <c r="K268" s="812"/>
      <c r="L268" s="301">
        <f t="shared" si="74"/>
        <v>0</v>
      </c>
      <c r="M268" s="58">
        <f t="shared" si="75"/>
        <v>0</v>
      </c>
      <c r="N268" s="55">
        <v>40.409999999999997</v>
      </c>
      <c r="O268" s="42">
        <f t="shared" si="76"/>
        <v>-1</v>
      </c>
      <c r="P268" s="52">
        <v>40.409999999999997</v>
      </c>
    </row>
    <row r="269" spans="1:16" ht="24">
      <c r="A269" s="226">
        <v>52</v>
      </c>
      <c r="B269" s="53" t="s">
        <v>672</v>
      </c>
      <c r="C269" s="338" t="s">
        <v>673</v>
      </c>
      <c r="D269" s="166" t="s">
        <v>674</v>
      </c>
      <c r="E269" s="748"/>
      <c r="F269" s="815"/>
      <c r="G269" s="839" t="s">
        <v>675</v>
      </c>
      <c r="H269" s="36" t="s">
        <v>39</v>
      </c>
      <c r="I269" s="37">
        <v>20</v>
      </c>
      <c r="J269" s="38">
        <f t="shared" si="73"/>
        <v>0</v>
      </c>
      <c r="K269" s="805"/>
      <c r="L269" s="300">
        <f>K269/80</f>
        <v>0</v>
      </c>
      <c r="M269" s="40">
        <f t="shared" si="75"/>
        <v>0</v>
      </c>
      <c r="N269" s="55">
        <v>24.3</v>
      </c>
      <c r="O269" s="42">
        <f t="shared" si="76"/>
        <v>-1</v>
      </c>
      <c r="P269" s="43">
        <v>23.99</v>
      </c>
    </row>
    <row r="270" spans="1:16" ht="16.5" customHeight="1">
      <c r="A270" s="31"/>
      <c r="B270" s="115"/>
      <c r="C270" s="109" t="s">
        <v>676</v>
      </c>
      <c r="D270" s="110"/>
      <c r="E270" s="752"/>
      <c r="F270" s="817"/>
      <c r="G270" s="852" t="s">
        <v>677</v>
      </c>
      <c r="H270" s="46"/>
      <c r="I270" s="47" t="s">
        <v>678</v>
      </c>
      <c r="J270" s="38">
        <f t="shared" si="73"/>
        <v>0</v>
      </c>
      <c r="K270" s="805"/>
      <c r="L270" s="309"/>
      <c r="M270" s="89"/>
      <c r="N270" s="55"/>
      <c r="O270" s="42"/>
      <c r="P270" s="52"/>
    </row>
    <row r="271" spans="1:16" ht="24">
      <c r="A271" s="226">
        <v>53</v>
      </c>
      <c r="B271" s="53" t="s">
        <v>679</v>
      </c>
      <c r="C271" s="108" t="s">
        <v>680</v>
      </c>
      <c r="D271" s="129" t="s">
        <v>681</v>
      </c>
      <c r="E271" s="748"/>
      <c r="F271" s="815"/>
      <c r="G271" s="839" t="s">
        <v>682</v>
      </c>
      <c r="H271" s="36" t="s">
        <v>39</v>
      </c>
      <c r="I271" s="37">
        <v>8</v>
      </c>
      <c r="J271" s="38">
        <f t="shared" si="73"/>
        <v>0</v>
      </c>
      <c r="K271" s="811"/>
      <c r="L271" s="300">
        <f>K271/120</f>
        <v>0</v>
      </c>
      <c r="M271" s="40">
        <f>I271*K271</f>
        <v>0</v>
      </c>
      <c r="N271" s="55">
        <v>49.94</v>
      </c>
      <c r="O271" s="42">
        <f>(K271-N271)/N271</f>
        <v>-1</v>
      </c>
      <c r="P271" s="43">
        <v>48.99</v>
      </c>
    </row>
    <row r="272" spans="1:16" ht="16.5" customHeight="1">
      <c r="A272" s="31"/>
      <c r="B272" s="115"/>
      <c r="C272" s="109" t="s">
        <v>683</v>
      </c>
      <c r="D272" s="110"/>
      <c r="E272" s="752"/>
      <c r="F272" s="817"/>
      <c r="G272" s="852"/>
      <c r="H272" s="46"/>
      <c r="I272" s="47"/>
      <c r="J272" s="38">
        <f t="shared" si="73"/>
        <v>0</v>
      </c>
      <c r="K272" s="812"/>
      <c r="L272" s="309"/>
      <c r="M272" s="89"/>
      <c r="N272" s="55"/>
      <c r="O272" s="42"/>
      <c r="P272" s="52"/>
    </row>
    <row r="273" spans="1:16" ht="24">
      <c r="A273" s="226">
        <v>54</v>
      </c>
      <c r="B273" s="53" t="s">
        <v>684</v>
      </c>
      <c r="C273" s="108" t="s">
        <v>685</v>
      </c>
      <c r="D273" s="129" t="s">
        <v>681</v>
      </c>
      <c r="E273" s="748"/>
      <c r="F273" s="815"/>
      <c r="G273" s="839" t="s">
        <v>686</v>
      </c>
      <c r="H273" s="36" t="s">
        <v>39</v>
      </c>
      <c r="I273" s="37">
        <v>15</v>
      </c>
      <c r="J273" s="38">
        <f t="shared" si="73"/>
        <v>0</v>
      </c>
      <c r="K273" s="805"/>
      <c r="L273" s="300">
        <f>K273/120</f>
        <v>0</v>
      </c>
      <c r="M273" s="40">
        <f>I273*K273</f>
        <v>0</v>
      </c>
      <c r="N273" s="55">
        <v>47.67</v>
      </c>
      <c r="O273" s="42">
        <f>(K273-N273)/N273</f>
        <v>-1</v>
      </c>
      <c r="P273" s="43">
        <v>48.99</v>
      </c>
    </row>
    <row r="274" spans="1:16" ht="16.5" customHeight="1">
      <c r="A274" s="31"/>
      <c r="B274" s="115"/>
      <c r="C274" s="339" t="s">
        <v>683</v>
      </c>
      <c r="D274" s="110"/>
      <c r="E274" s="749"/>
      <c r="F274" s="817"/>
      <c r="G274" s="852"/>
      <c r="H274" s="46"/>
      <c r="I274" s="47"/>
      <c r="J274" s="38">
        <f t="shared" si="73"/>
        <v>0</v>
      </c>
      <c r="K274" s="805"/>
      <c r="L274" s="309"/>
      <c r="M274" s="89"/>
      <c r="N274" s="55"/>
      <c r="O274" s="51"/>
      <c r="P274" s="52"/>
    </row>
    <row r="275" spans="1:16" ht="16.5" customHeight="1">
      <c r="A275" s="226">
        <v>55</v>
      </c>
      <c r="B275" s="53" t="s">
        <v>687</v>
      </c>
      <c r="C275" s="135" t="s">
        <v>688</v>
      </c>
      <c r="D275" s="124" t="s">
        <v>689</v>
      </c>
      <c r="E275" s="753"/>
      <c r="F275" s="825"/>
      <c r="G275" s="839" t="s">
        <v>690</v>
      </c>
      <c r="H275" s="36" t="s">
        <v>39</v>
      </c>
      <c r="I275" s="37">
        <v>20</v>
      </c>
      <c r="J275" s="38">
        <f t="shared" si="73"/>
        <v>0</v>
      </c>
      <c r="K275" s="811"/>
      <c r="L275" s="300">
        <f t="shared" ref="L275:L276" si="77">K275/300</f>
        <v>0</v>
      </c>
      <c r="M275" s="40">
        <f t="shared" ref="M275:M276" si="78">I275*K275</f>
        <v>0</v>
      </c>
      <c r="N275" s="55">
        <v>48.37</v>
      </c>
      <c r="O275" s="42">
        <f>(K275-N275)/N275</f>
        <v>-1</v>
      </c>
      <c r="P275" s="43">
        <v>48.37</v>
      </c>
    </row>
    <row r="276" spans="1:16" ht="16.5" customHeight="1">
      <c r="A276" s="226">
        <v>56</v>
      </c>
      <c r="B276" s="61"/>
      <c r="C276" s="111" t="s">
        <v>691</v>
      </c>
      <c r="D276" s="129" t="s">
        <v>689</v>
      </c>
      <c r="E276" s="755"/>
      <c r="F276" s="826"/>
      <c r="G276" s="851" t="s">
        <v>692</v>
      </c>
      <c r="H276" s="113" t="s">
        <v>39</v>
      </c>
      <c r="I276" s="64">
        <v>5</v>
      </c>
      <c r="J276" s="38">
        <f t="shared" si="73"/>
        <v>0</v>
      </c>
      <c r="K276" s="813"/>
      <c r="L276" s="301">
        <f t="shared" si="77"/>
        <v>0</v>
      </c>
      <c r="M276" s="58">
        <f t="shared" si="78"/>
        <v>0</v>
      </c>
      <c r="N276" s="55">
        <v>39.28</v>
      </c>
      <c r="O276" s="51"/>
      <c r="P276" s="52">
        <v>39.28</v>
      </c>
    </row>
    <row r="277" spans="1:16" ht="16.5" customHeight="1">
      <c r="A277" s="31"/>
      <c r="B277" s="61"/>
      <c r="C277" s="313"/>
      <c r="D277" s="176"/>
      <c r="E277" s="754"/>
      <c r="F277" s="826"/>
      <c r="G277" s="851" t="s">
        <v>42</v>
      </c>
      <c r="H277" s="113"/>
      <c r="I277" s="64"/>
      <c r="J277" s="38">
        <f t="shared" si="73"/>
        <v>0</v>
      </c>
      <c r="K277" s="812"/>
      <c r="L277" s="301"/>
      <c r="M277" s="58"/>
      <c r="N277" s="55"/>
      <c r="O277" s="42"/>
      <c r="P277" s="52"/>
    </row>
    <row r="278" spans="1:16" ht="16.5" customHeight="1">
      <c r="A278" s="226">
        <v>57</v>
      </c>
      <c r="B278" s="53" t="s">
        <v>693</v>
      </c>
      <c r="C278" s="108" t="s">
        <v>694</v>
      </c>
      <c r="D278" s="166" t="s">
        <v>695</v>
      </c>
      <c r="E278" s="775"/>
      <c r="F278" s="815"/>
      <c r="G278" s="839" t="s">
        <v>696</v>
      </c>
      <c r="H278" s="36" t="s">
        <v>39</v>
      </c>
      <c r="I278" s="37">
        <v>20</v>
      </c>
      <c r="J278" s="38">
        <f t="shared" si="73"/>
        <v>0</v>
      </c>
      <c r="K278" s="805"/>
      <c r="L278" s="300">
        <f>K278/150</f>
        <v>0</v>
      </c>
      <c r="M278" s="40">
        <f>I278*K278</f>
        <v>0</v>
      </c>
      <c r="N278" s="55">
        <v>29.69</v>
      </c>
      <c r="O278" s="42">
        <f>(K278-N278)/N278</f>
        <v>-1</v>
      </c>
      <c r="P278" s="43">
        <v>29.69</v>
      </c>
    </row>
    <row r="279" spans="1:16" ht="16.5" customHeight="1">
      <c r="A279" s="31"/>
      <c r="B279" s="115"/>
      <c r="C279" s="158" t="s">
        <v>697</v>
      </c>
      <c r="D279" s="110"/>
      <c r="E279" s="752"/>
      <c r="F279" s="817"/>
      <c r="G279" s="852" t="s">
        <v>42</v>
      </c>
      <c r="H279" s="46"/>
      <c r="I279" s="47"/>
      <c r="J279" s="38">
        <f t="shared" si="73"/>
        <v>0</v>
      </c>
      <c r="K279" s="805"/>
      <c r="L279" s="309"/>
      <c r="M279" s="89"/>
      <c r="N279" s="55"/>
      <c r="O279" s="51"/>
      <c r="P279" s="52"/>
    </row>
    <row r="280" spans="1:16" ht="16.5" customHeight="1">
      <c r="A280" s="226">
        <v>58</v>
      </c>
      <c r="B280" s="546" t="s">
        <v>698</v>
      </c>
      <c r="C280" s="172" t="s">
        <v>699</v>
      </c>
      <c r="D280" s="129" t="s">
        <v>700</v>
      </c>
      <c r="E280" s="756"/>
      <c r="F280" s="816"/>
      <c r="G280" s="864" t="s">
        <v>701</v>
      </c>
      <c r="H280" s="113" t="s">
        <v>39</v>
      </c>
      <c r="I280" s="64">
        <v>5</v>
      </c>
      <c r="J280" s="38">
        <f t="shared" si="73"/>
        <v>0</v>
      </c>
      <c r="K280" s="811"/>
      <c r="L280" s="301">
        <f>K280/200</f>
        <v>0</v>
      </c>
      <c r="M280" s="58">
        <f>I280*K280</f>
        <v>0</v>
      </c>
      <c r="N280" s="55">
        <v>15.65</v>
      </c>
      <c r="O280" s="42">
        <f>(K280-N280)/N280</f>
        <v>-1</v>
      </c>
      <c r="P280" s="52">
        <v>15.65</v>
      </c>
    </row>
    <row r="281" spans="1:16" ht="16.5" customHeight="1">
      <c r="A281" s="31"/>
      <c r="B281" s="545"/>
      <c r="C281" s="123" t="s">
        <v>702</v>
      </c>
      <c r="D281" s="112"/>
      <c r="E281" s="756"/>
      <c r="F281" s="816"/>
      <c r="G281" s="851" t="s">
        <v>703</v>
      </c>
      <c r="H281" s="113"/>
      <c r="I281" s="64"/>
      <c r="J281" s="38">
        <f t="shared" si="73"/>
        <v>0</v>
      </c>
      <c r="K281" s="812"/>
      <c r="L281" s="301" t="s">
        <v>704</v>
      </c>
      <c r="M281" s="58"/>
      <c r="N281" s="55"/>
      <c r="O281" s="42"/>
      <c r="P281" s="52"/>
    </row>
    <row r="282" spans="1:16" ht="16.5" customHeight="1">
      <c r="A282" s="226">
        <v>59</v>
      </c>
      <c r="B282" s="53" t="s">
        <v>705</v>
      </c>
      <c r="C282" s="108" t="s">
        <v>706</v>
      </c>
      <c r="D282" s="166" t="s">
        <v>707</v>
      </c>
      <c r="E282" s="748"/>
      <c r="F282" s="815"/>
      <c r="G282" s="839" t="s">
        <v>708</v>
      </c>
      <c r="H282" s="36" t="s">
        <v>39</v>
      </c>
      <c r="I282" s="37">
        <v>25</v>
      </c>
      <c r="J282" s="38">
        <f t="shared" si="73"/>
        <v>0</v>
      </c>
      <c r="K282" s="805"/>
      <c r="L282" s="300">
        <f>K282/125</f>
        <v>0</v>
      </c>
      <c r="M282" s="40">
        <f>K282*I282</f>
        <v>0</v>
      </c>
      <c r="N282" s="55">
        <v>22.73</v>
      </c>
      <c r="O282" s="42">
        <f>(K282-N282)/N282</f>
        <v>-1</v>
      </c>
      <c r="P282" s="43">
        <v>21.26</v>
      </c>
    </row>
    <row r="283" spans="1:16" ht="16.5" customHeight="1">
      <c r="A283" s="31"/>
      <c r="B283" s="115"/>
      <c r="C283" s="109" t="s">
        <v>709</v>
      </c>
      <c r="D283" s="110"/>
      <c r="E283" s="752"/>
      <c r="F283" s="817"/>
      <c r="G283" s="852" t="s">
        <v>710</v>
      </c>
      <c r="H283" s="46"/>
      <c r="I283" s="47"/>
      <c r="J283" s="38">
        <f t="shared" si="73"/>
        <v>0</v>
      </c>
      <c r="K283" s="805"/>
      <c r="L283" s="309"/>
      <c r="M283" s="89"/>
      <c r="N283" s="55"/>
      <c r="O283" s="42"/>
      <c r="P283" s="52"/>
    </row>
    <row r="284" spans="1:16" ht="16.5" customHeight="1">
      <c r="A284" s="226">
        <v>60</v>
      </c>
      <c r="B284" s="53" t="s">
        <v>711</v>
      </c>
      <c r="C284" s="114" t="s">
        <v>712</v>
      </c>
      <c r="D284" s="129" t="s">
        <v>713</v>
      </c>
      <c r="E284" s="748"/>
      <c r="F284" s="815"/>
      <c r="G284" s="839" t="s">
        <v>714</v>
      </c>
      <c r="H284" s="36" t="s">
        <v>39</v>
      </c>
      <c r="I284" s="37">
        <v>55</v>
      </c>
      <c r="J284" s="38">
        <f t="shared" si="73"/>
        <v>0</v>
      </c>
      <c r="K284" s="811"/>
      <c r="L284" s="300">
        <f>K284/96</f>
        <v>0</v>
      </c>
      <c r="M284" s="40">
        <f>K284*I284</f>
        <v>0</v>
      </c>
      <c r="N284" s="55">
        <v>40.92</v>
      </c>
      <c r="O284" s="42">
        <f>(K284-N284)/N284</f>
        <v>-1</v>
      </c>
      <c r="P284" s="43">
        <v>40.92</v>
      </c>
    </row>
    <row r="285" spans="1:16" ht="16.5" customHeight="1">
      <c r="A285" s="31"/>
      <c r="B285" s="115"/>
      <c r="C285" s="222"/>
      <c r="D285" s="110"/>
      <c r="E285" s="752"/>
      <c r="F285" s="817"/>
      <c r="G285" s="852" t="s">
        <v>42</v>
      </c>
      <c r="H285" s="46"/>
      <c r="I285" s="47"/>
      <c r="J285" s="38">
        <f t="shared" si="73"/>
        <v>0</v>
      </c>
      <c r="K285" s="812"/>
      <c r="L285" s="309"/>
      <c r="M285" s="89"/>
      <c r="N285" s="55"/>
      <c r="O285" s="42"/>
      <c r="P285" s="52"/>
    </row>
    <row r="286" spans="1:16" ht="16.5" customHeight="1">
      <c r="A286" s="226">
        <v>61</v>
      </c>
      <c r="B286" s="61" t="s">
        <v>715</v>
      </c>
      <c r="C286" s="114" t="s">
        <v>716</v>
      </c>
      <c r="D286" s="129" t="s">
        <v>717</v>
      </c>
      <c r="E286" s="748"/>
      <c r="F286" s="816"/>
      <c r="G286" s="851" t="s">
        <v>718</v>
      </c>
      <c r="H286" s="113" t="s">
        <v>39</v>
      </c>
      <c r="I286" s="64">
        <v>75</v>
      </c>
      <c r="J286" s="38">
        <f t="shared" si="73"/>
        <v>0</v>
      </c>
      <c r="K286" s="805"/>
      <c r="L286" s="301">
        <f>K286/48</f>
        <v>0</v>
      </c>
      <c r="M286" s="58">
        <f>I286*K286</f>
        <v>0</v>
      </c>
      <c r="N286" s="55">
        <v>20.98</v>
      </c>
      <c r="O286" s="42">
        <f>(K286-N286)/N286</f>
        <v>-1</v>
      </c>
      <c r="P286" s="52">
        <v>20.98</v>
      </c>
    </row>
    <row r="287" spans="1:16" ht="16.5" customHeight="1">
      <c r="A287" s="31"/>
      <c r="B287" s="61"/>
      <c r="C287" s="179"/>
      <c r="D287" s="129" t="s">
        <v>719</v>
      </c>
      <c r="E287" s="756"/>
      <c r="F287" s="816"/>
      <c r="G287" s="851" t="s">
        <v>42</v>
      </c>
      <c r="H287" s="113"/>
      <c r="I287" s="64"/>
      <c r="J287" s="38">
        <f t="shared" si="73"/>
        <v>0</v>
      </c>
      <c r="K287" s="805"/>
      <c r="L287" s="301"/>
      <c r="M287" s="58"/>
      <c r="N287" s="55"/>
      <c r="O287" s="42"/>
      <c r="P287" s="52"/>
    </row>
    <row r="288" spans="1:16" ht="16.5" customHeight="1">
      <c r="A288" s="226">
        <v>62</v>
      </c>
      <c r="B288" s="119" t="s">
        <v>720</v>
      </c>
      <c r="C288" s="161" t="s">
        <v>721</v>
      </c>
      <c r="D288" s="162" t="s">
        <v>722</v>
      </c>
      <c r="E288" s="757"/>
      <c r="F288" s="819"/>
      <c r="G288" s="854" t="s">
        <v>723</v>
      </c>
      <c r="H288" s="120" t="s">
        <v>39</v>
      </c>
      <c r="I288" s="340">
        <v>20</v>
      </c>
      <c r="J288" s="38">
        <f t="shared" si="73"/>
        <v>0</v>
      </c>
      <c r="K288" s="810"/>
      <c r="L288" s="315">
        <f t="shared" ref="L288:L289" si="79">K288/48</f>
        <v>0</v>
      </c>
      <c r="M288" s="163">
        <f t="shared" ref="M288:M290" si="80">I288*K288</f>
        <v>0</v>
      </c>
      <c r="N288" s="55">
        <v>22.33</v>
      </c>
      <c r="O288" s="51"/>
      <c r="P288" s="43">
        <v>22.2</v>
      </c>
    </row>
    <row r="289" spans="1:16" ht="16.5" customHeight="1">
      <c r="A289" s="226">
        <v>63</v>
      </c>
      <c r="B289" s="119" t="s">
        <v>720</v>
      </c>
      <c r="C289" s="161" t="s">
        <v>724</v>
      </c>
      <c r="D289" s="159" t="s">
        <v>722</v>
      </c>
      <c r="E289" s="757"/>
      <c r="F289" s="819"/>
      <c r="G289" s="854" t="s">
        <v>725</v>
      </c>
      <c r="H289" s="120" t="s">
        <v>39</v>
      </c>
      <c r="I289" s="121">
        <v>70</v>
      </c>
      <c r="J289" s="38">
        <f t="shared" si="73"/>
        <v>0</v>
      </c>
      <c r="K289" s="805"/>
      <c r="L289" s="315">
        <f t="shared" si="79"/>
        <v>0</v>
      </c>
      <c r="M289" s="163">
        <f t="shared" si="80"/>
        <v>0</v>
      </c>
      <c r="N289" s="55">
        <v>22.33</v>
      </c>
      <c r="O289" s="42">
        <f t="shared" ref="O289:O290" si="81">(K289-N289)/N289</f>
        <v>-1</v>
      </c>
      <c r="P289" s="43">
        <v>22.2</v>
      </c>
    </row>
    <row r="290" spans="1:16" ht="16.5" customHeight="1">
      <c r="A290" s="226">
        <v>64</v>
      </c>
      <c r="B290" s="53" t="s">
        <v>726</v>
      </c>
      <c r="C290" s="108" t="s">
        <v>727</v>
      </c>
      <c r="D290" s="129" t="s">
        <v>728</v>
      </c>
      <c r="E290" s="748"/>
      <c r="F290" s="815"/>
      <c r="G290" s="839" t="s">
        <v>729</v>
      </c>
      <c r="H290" s="36" t="s">
        <v>39</v>
      </c>
      <c r="I290" s="37">
        <v>50</v>
      </c>
      <c r="J290" s="38">
        <f t="shared" si="73"/>
        <v>0</v>
      </c>
      <c r="K290" s="811"/>
      <c r="L290" s="300">
        <f>K290/84</f>
        <v>0</v>
      </c>
      <c r="M290" s="40">
        <f t="shared" si="80"/>
        <v>0</v>
      </c>
      <c r="N290" s="55">
        <v>49.73</v>
      </c>
      <c r="O290" s="42">
        <f t="shared" si="81"/>
        <v>-1</v>
      </c>
      <c r="P290" s="43">
        <v>49.01</v>
      </c>
    </row>
    <row r="291" spans="1:16" ht="16.5" customHeight="1">
      <c r="A291" s="31"/>
      <c r="B291" s="115"/>
      <c r="C291" s="158" t="s">
        <v>730</v>
      </c>
      <c r="D291" s="116"/>
      <c r="E291" s="752"/>
      <c r="F291" s="817"/>
      <c r="G291" s="852"/>
      <c r="H291" s="46"/>
      <c r="I291" s="47"/>
      <c r="J291" s="38">
        <f t="shared" si="73"/>
        <v>0</v>
      </c>
      <c r="K291" s="812"/>
      <c r="L291" s="309" t="s">
        <v>731</v>
      </c>
      <c r="M291" s="223"/>
      <c r="N291" s="55"/>
      <c r="O291" s="51"/>
      <c r="P291" s="52"/>
    </row>
    <row r="292" spans="1:16" ht="16.5" customHeight="1">
      <c r="A292" s="226">
        <v>65</v>
      </c>
      <c r="B292" s="61" t="s">
        <v>732</v>
      </c>
      <c r="C292" s="229" t="s">
        <v>733</v>
      </c>
      <c r="D292" s="124" t="s">
        <v>734</v>
      </c>
      <c r="E292" s="756"/>
      <c r="F292" s="816"/>
      <c r="G292" s="851" t="s">
        <v>735</v>
      </c>
      <c r="H292" s="113" t="s">
        <v>39</v>
      </c>
      <c r="I292" s="64">
        <v>25</v>
      </c>
      <c r="J292" s="38">
        <f t="shared" si="73"/>
        <v>0</v>
      </c>
      <c r="K292" s="805"/>
      <c r="L292" s="301">
        <f>K292/408</f>
        <v>0</v>
      </c>
      <c r="M292" s="58">
        <f t="shared" ref="M292:M293" si="82">I292*K292</f>
        <v>0</v>
      </c>
      <c r="N292" s="55">
        <v>28.39</v>
      </c>
      <c r="O292" s="42">
        <f t="shared" ref="O292:O295" si="83">(K292-N292)/N292</f>
        <v>-1</v>
      </c>
      <c r="P292" s="52">
        <v>28.39</v>
      </c>
    </row>
    <row r="293" spans="1:16" ht="16.5" customHeight="1">
      <c r="A293" s="226">
        <v>66</v>
      </c>
      <c r="B293" s="61"/>
      <c r="C293" s="341" t="s">
        <v>736</v>
      </c>
      <c r="D293" s="129" t="s">
        <v>737</v>
      </c>
      <c r="E293" s="756"/>
      <c r="F293" s="816"/>
      <c r="G293" s="851" t="s">
        <v>738</v>
      </c>
      <c r="H293" s="113"/>
      <c r="I293" s="64">
        <v>75</v>
      </c>
      <c r="J293" s="38">
        <f t="shared" si="73"/>
        <v>0</v>
      </c>
      <c r="K293" s="805"/>
      <c r="L293" s="301">
        <f>K293/216</f>
        <v>0</v>
      </c>
      <c r="M293" s="58">
        <f t="shared" si="82"/>
        <v>0</v>
      </c>
      <c r="N293" s="55">
        <v>27.78</v>
      </c>
      <c r="O293" s="42">
        <f t="shared" si="83"/>
        <v>-1</v>
      </c>
      <c r="P293" s="52">
        <v>27.78</v>
      </c>
    </row>
    <row r="294" spans="1:16" ht="24">
      <c r="A294" s="226">
        <v>67</v>
      </c>
      <c r="B294" s="53" t="s">
        <v>739</v>
      </c>
      <c r="C294" s="135" t="s">
        <v>740</v>
      </c>
      <c r="D294" s="166" t="s">
        <v>741</v>
      </c>
      <c r="E294" s="748"/>
      <c r="F294" s="815"/>
      <c r="G294" s="839" t="s">
        <v>742</v>
      </c>
      <c r="H294" s="36" t="s">
        <v>39</v>
      </c>
      <c r="I294" s="37">
        <v>35</v>
      </c>
      <c r="J294" s="38">
        <f t="shared" si="73"/>
        <v>0</v>
      </c>
      <c r="K294" s="810"/>
      <c r="L294" s="300">
        <f>K294/90</f>
        <v>0</v>
      </c>
      <c r="M294" s="40">
        <f>K294*I294</f>
        <v>0</v>
      </c>
      <c r="N294" s="55">
        <v>16.62</v>
      </c>
      <c r="O294" s="42">
        <f t="shared" si="83"/>
        <v>-1</v>
      </c>
      <c r="P294" s="43">
        <v>16.62</v>
      </c>
    </row>
    <row r="295" spans="1:16" ht="15.75">
      <c r="A295" s="226"/>
      <c r="B295" s="53" t="s">
        <v>743</v>
      </c>
      <c r="C295" s="342" t="s">
        <v>744</v>
      </c>
      <c r="D295" s="225"/>
      <c r="E295" s="748"/>
      <c r="F295" s="815"/>
      <c r="G295" s="839" t="s">
        <v>745</v>
      </c>
      <c r="H295" s="36" t="s">
        <v>39</v>
      </c>
      <c r="I295" s="37">
        <f>SUM(I296:I297)</f>
        <v>6</v>
      </c>
      <c r="J295" s="38">
        <f t="shared" si="73"/>
        <v>0</v>
      </c>
      <c r="K295" s="805"/>
      <c r="L295" s="300">
        <f>K295/60</f>
        <v>0</v>
      </c>
      <c r="M295" s="40">
        <f>I295*K295</f>
        <v>0</v>
      </c>
      <c r="N295" s="55">
        <v>20.25</v>
      </c>
      <c r="O295" s="42">
        <f t="shared" si="83"/>
        <v>-1</v>
      </c>
      <c r="P295" s="43">
        <v>20.25</v>
      </c>
    </row>
    <row r="296" spans="1:16" ht="16.5" customHeight="1">
      <c r="A296" s="226">
        <v>68</v>
      </c>
      <c r="B296" s="61"/>
      <c r="C296" s="179"/>
      <c r="D296" s="129" t="s">
        <v>746</v>
      </c>
      <c r="E296" s="756"/>
      <c r="F296" s="816"/>
      <c r="G296" s="851" t="s">
        <v>747</v>
      </c>
      <c r="H296" s="113"/>
      <c r="I296" s="64">
        <v>3</v>
      </c>
      <c r="J296" s="38">
        <f t="shared" si="73"/>
        <v>0</v>
      </c>
      <c r="K296" s="805"/>
      <c r="L296" s="301"/>
      <c r="M296" s="58"/>
      <c r="N296" s="55">
        <v>20.25</v>
      </c>
      <c r="O296" s="51"/>
      <c r="P296" s="52"/>
    </row>
    <row r="297" spans="1:16" ht="16.5" customHeight="1">
      <c r="A297" s="226">
        <v>69</v>
      </c>
      <c r="B297" s="61"/>
      <c r="C297" s="179"/>
      <c r="D297" s="129" t="s">
        <v>746</v>
      </c>
      <c r="E297" s="756"/>
      <c r="F297" s="816"/>
      <c r="G297" s="851" t="s">
        <v>748</v>
      </c>
      <c r="H297" s="113"/>
      <c r="I297" s="64">
        <v>3</v>
      </c>
      <c r="J297" s="38">
        <f t="shared" si="73"/>
        <v>0</v>
      </c>
      <c r="K297" s="805"/>
      <c r="L297" s="301"/>
      <c r="M297" s="58"/>
      <c r="N297" s="55">
        <v>20.25</v>
      </c>
      <c r="O297" s="42"/>
      <c r="P297" s="52"/>
    </row>
    <row r="298" spans="1:16" ht="16.5" customHeight="1">
      <c r="A298" s="226">
        <v>70</v>
      </c>
      <c r="B298" s="53" t="s">
        <v>749</v>
      </c>
      <c r="C298" s="165" t="s">
        <v>750</v>
      </c>
      <c r="D298" s="54" t="s">
        <v>751</v>
      </c>
      <c r="E298" s="748"/>
      <c r="F298" s="815"/>
      <c r="G298" s="839" t="s">
        <v>752</v>
      </c>
      <c r="H298" s="36" t="s">
        <v>39</v>
      </c>
      <c r="I298" s="37">
        <v>2</v>
      </c>
      <c r="J298" s="38">
        <f t="shared" si="73"/>
        <v>0</v>
      </c>
      <c r="K298" s="811"/>
      <c r="L298" s="300">
        <f>K298/200</f>
        <v>0</v>
      </c>
      <c r="M298" s="40">
        <f>I298*K298</f>
        <v>0</v>
      </c>
      <c r="N298" s="55">
        <v>19.45</v>
      </c>
      <c r="O298" s="42">
        <f>(K298-N298)/N298</f>
        <v>-1</v>
      </c>
      <c r="P298" s="43">
        <v>19.25</v>
      </c>
    </row>
    <row r="299" spans="1:16" ht="16.5" customHeight="1">
      <c r="A299" s="31"/>
      <c r="B299" s="115"/>
      <c r="C299" s="343"/>
      <c r="D299" s="110"/>
      <c r="E299" s="752"/>
      <c r="F299" s="817"/>
      <c r="G299" s="852"/>
      <c r="H299" s="46"/>
      <c r="I299" s="47"/>
      <c r="J299" s="38">
        <f t="shared" si="73"/>
        <v>0</v>
      </c>
      <c r="K299" s="812"/>
      <c r="L299" s="309"/>
      <c r="M299" s="223"/>
      <c r="N299" s="55"/>
      <c r="O299" s="42"/>
      <c r="P299" s="52"/>
    </row>
    <row r="300" spans="1:16" ht="16.5" customHeight="1">
      <c r="A300" s="226">
        <v>71</v>
      </c>
      <c r="B300" s="61" t="s">
        <v>753</v>
      </c>
      <c r="C300" s="229" t="s">
        <v>754</v>
      </c>
      <c r="D300" s="129" t="s">
        <v>755</v>
      </c>
      <c r="E300" s="756"/>
      <c r="F300" s="816"/>
      <c r="G300" s="851" t="s">
        <v>756</v>
      </c>
      <c r="H300" s="113" t="s">
        <v>39</v>
      </c>
      <c r="I300" s="64">
        <v>60</v>
      </c>
      <c r="J300" s="38">
        <f t="shared" si="73"/>
        <v>0</v>
      </c>
      <c r="K300" s="805"/>
      <c r="L300" s="301">
        <f>K300/160</f>
        <v>0</v>
      </c>
      <c r="M300" s="187">
        <f>I300*K300</f>
        <v>0</v>
      </c>
      <c r="N300" s="55">
        <v>16.329999999999998</v>
      </c>
      <c r="O300" s="42">
        <f>(K300-N300)/N300</f>
        <v>-1</v>
      </c>
      <c r="P300" s="52">
        <v>15.81</v>
      </c>
    </row>
    <row r="301" spans="1:16" ht="16.5" customHeight="1">
      <c r="A301" s="31"/>
      <c r="B301" s="61"/>
      <c r="C301" s="78" t="s">
        <v>757</v>
      </c>
      <c r="D301" s="112"/>
      <c r="E301" s="756"/>
      <c r="F301" s="816"/>
      <c r="G301" s="851" t="s">
        <v>42</v>
      </c>
      <c r="H301" s="113"/>
      <c r="I301" s="64"/>
      <c r="J301" s="38">
        <f t="shared" si="73"/>
        <v>0</v>
      </c>
      <c r="K301" s="805"/>
      <c r="L301" s="301"/>
      <c r="M301" s="219"/>
      <c r="N301" s="55"/>
      <c r="O301" s="42"/>
      <c r="P301" s="52"/>
    </row>
    <row r="302" spans="1:16" ht="16.5" customHeight="1">
      <c r="A302" s="226">
        <v>72</v>
      </c>
      <c r="B302" s="53" t="s">
        <v>758</v>
      </c>
      <c r="C302" s="85" t="s">
        <v>759</v>
      </c>
      <c r="D302" s="166" t="s">
        <v>760</v>
      </c>
      <c r="E302" s="748"/>
      <c r="F302" s="815"/>
      <c r="G302" s="839" t="s">
        <v>761</v>
      </c>
      <c r="H302" s="36" t="s">
        <v>39</v>
      </c>
      <c r="I302" s="37">
        <v>40</v>
      </c>
      <c r="J302" s="38">
        <f t="shared" si="73"/>
        <v>0</v>
      </c>
      <c r="K302" s="811"/>
      <c r="L302" s="300">
        <f>K302/104</f>
        <v>0</v>
      </c>
      <c r="M302" s="40">
        <f>(I302/16)*K302</f>
        <v>0</v>
      </c>
      <c r="N302" s="55">
        <v>29.96</v>
      </c>
      <c r="O302" s="42">
        <f>(K302-N302)/N302</f>
        <v>-1</v>
      </c>
      <c r="P302" s="43">
        <v>29.24</v>
      </c>
    </row>
    <row r="303" spans="1:16" ht="16.5" customHeight="1">
      <c r="A303" s="31"/>
      <c r="B303" s="115"/>
      <c r="C303" s="87" t="s">
        <v>762</v>
      </c>
      <c r="D303" s="110"/>
      <c r="E303" s="752"/>
      <c r="F303" s="817"/>
      <c r="G303" s="852"/>
      <c r="H303" s="46"/>
      <c r="I303" s="47"/>
      <c r="J303" s="38">
        <f t="shared" si="73"/>
        <v>0</v>
      </c>
      <c r="K303" s="812"/>
      <c r="L303" s="309" t="s">
        <v>763</v>
      </c>
      <c r="M303" s="223"/>
      <c r="N303" s="55"/>
      <c r="O303" s="42"/>
      <c r="P303" s="52"/>
    </row>
    <row r="304" spans="1:16" ht="16.5" customHeight="1">
      <c r="A304" s="226">
        <v>73</v>
      </c>
      <c r="B304" s="53" t="s">
        <v>758</v>
      </c>
      <c r="C304" s="85" t="s">
        <v>759</v>
      </c>
      <c r="D304" s="129" t="s">
        <v>764</v>
      </c>
      <c r="E304" s="748"/>
      <c r="F304" s="815"/>
      <c r="G304" s="839" t="s">
        <v>765</v>
      </c>
      <c r="H304" s="36" t="s">
        <v>39</v>
      </c>
      <c r="I304" s="37">
        <v>40</v>
      </c>
      <c r="J304" s="38">
        <f t="shared" si="73"/>
        <v>0</v>
      </c>
      <c r="K304" s="805"/>
      <c r="L304" s="300">
        <f>K304/256</f>
        <v>0</v>
      </c>
      <c r="M304" s="40">
        <f>(I304/16)*K304</f>
        <v>0</v>
      </c>
      <c r="N304" s="55">
        <v>17.53</v>
      </c>
      <c r="O304" s="42">
        <f>(K304-N304)/N304</f>
        <v>-1</v>
      </c>
      <c r="P304" s="43">
        <v>16.95</v>
      </c>
    </row>
    <row r="305" spans="1:16" ht="16.5" customHeight="1">
      <c r="A305" s="31"/>
      <c r="B305" s="115"/>
      <c r="C305" s="87" t="s">
        <v>766</v>
      </c>
      <c r="D305" s="110"/>
      <c r="E305" s="752"/>
      <c r="F305" s="817"/>
      <c r="G305" s="852"/>
      <c r="H305" s="46"/>
      <c r="I305" s="47"/>
      <c r="J305" s="38">
        <f t="shared" si="73"/>
        <v>0</v>
      </c>
      <c r="K305" s="805"/>
      <c r="L305" s="309" t="s">
        <v>123</v>
      </c>
      <c r="M305" s="223"/>
      <c r="N305" s="55"/>
      <c r="O305" s="42"/>
      <c r="P305" s="52"/>
    </row>
    <row r="306" spans="1:16" ht="16.5" customHeight="1">
      <c r="A306" s="226">
        <v>74</v>
      </c>
      <c r="B306" s="53" t="s">
        <v>758</v>
      </c>
      <c r="C306" s="85" t="s">
        <v>767</v>
      </c>
      <c r="D306" s="129" t="s">
        <v>768</v>
      </c>
      <c r="E306" s="748"/>
      <c r="F306" s="815"/>
      <c r="G306" s="839" t="s">
        <v>769</v>
      </c>
      <c r="H306" s="36" t="s">
        <v>39</v>
      </c>
      <c r="I306" s="37">
        <v>40</v>
      </c>
      <c r="J306" s="38">
        <f t="shared" si="73"/>
        <v>0</v>
      </c>
      <c r="K306" s="811"/>
      <c r="L306" s="300">
        <f>K306/64</f>
        <v>0</v>
      </c>
      <c r="M306" s="40">
        <f>(I306/16)*K306</f>
        <v>0</v>
      </c>
      <c r="N306" s="55">
        <v>26.59</v>
      </c>
      <c r="O306" s="42">
        <f>(K306-N306)/N306</f>
        <v>-1</v>
      </c>
      <c r="P306" s="43">
        <v>30.1</v>
      </c>
    </row>
    <row r="307" spans="1:16" ht="16.5" customHeight="1">
      <c r="A307" s="31"/>
      <c r="B307" s="115" t="s">
        <v>770</v>
      </c>
      <c r="C307" s="87" t="s">
        <v>771</v>
      </c>
      <c r="D307" s="110"/>
      <c r="E307" s="752"/>
      <c r="F307" s="817"/>
      <c r="G307" s="852"/>
      <c r="H307" s="46"/>
      <c r="I307" s="47"/>
      <c r="J307" s="38">
        <f t="shared" si="73"/>
        <v>0</v>
      </c>
      <c r="K307" s="812"/>
      <c r="L307" s="309" t="s">
        <v>763</v>
      </c>
      <c r="M307" s="223"/>
      <c r="N307" s="55"/>
      <c r="O307" s="51"/>
      <c r="P307" s="52"/>
    </row>
    <row r="308" spans="1:16" ht="16.5" customHeight="1">
      <c r="A308" s="226">
        <v>75</v>
      </c>
      <c r="B308" s="61" t="s">
        <v>772</v>
      </c>
      <c r="C308" s="344" t="s">
        <v>773</v>
      </c>
      <c r="D308" s="129" t="s">
        <v>774</v>
      </c>
      <c r="E308" s="756"/>
      <c r="F308" s="816"/>
      <c r="G308" s="851" t="s">
        <v>775</v>
      </c>
      <c r="H308" s="113" t="s">
        <v>39</v>
      </c>
      <c r="I308" s="64">
        <v>50</v>
      </c>
      <c r="J308" s="38">
        <f t="shared" si="73"/>
        <v>0</v>
      </c>
      <c r="K308" s="805"/>
      <c r="L308" s="301">
        <f t="shared" ref="L308:L309" si="84">K308/104</f>
        <v>0</v>
      </c>
      <c r="M308" s="187">
        <f t="shared" ref="M308:M309" si="85">I308*K308</f>
        <v>0</v>
      </c>
      <c r="N308" s="55">
        <v>31</v>
      </c>
      <c r="O308" s="42">
        <f t="shared" ref="O308:O309" si="86">(K308-N308)/N308</f>
        <v>-1</v>
      </c>
      <c r="P308" s="52">
        <v>30.28</v>
      </c>
    </row>
    <row r="309" spans="1:16" ht="16.5" customHeight="1">
      <c r="A309" s="226">
        <v>76</v>
      </c>
      <c r="B309" s="61"/>
      <c r="C309" s="78" t="s">
        <v>776</v>
      </c>
      <c r="D309" s="129" t="s">
        <v>774</v>
      </c>
      <c r="E309" s="756"/>
      <c r="F309" s="816"/>
      <c r="G309" s="851" t="s">
        <v>777</v>
      </c>
      <c r="H309" s="113"/>
      <c r="I309" s="64">
        <v>6</v>
      </c>
      <c r="J309" s="38">
        <f t="shared" si="73"/>
        <v>0</v>
      </c>
      <c r="K309" s="805"/>
      <c r="L309" s="301">
        <f t="shared" si="84"/>
        <v>0</v>
      </c>
      <c r="M309" s="187">
        <f t="shared" si="85"/>
        <v>0</v>
      </c>
      <c r="N309" s="55">
        <v>31</v>
      </c>
      <c r="O309" s="42">
        <f t="shared" si="86"/>
        <v>-1</v>
      </c>
      <c r="P309" s="52">
        <v>30.28</v>
      </c>
    </row>
    <row r="310" spans="1:16" ht="16.5" customHeight="1">
      <c r="A310" s="345"/>
      <c r="B310" s="61"/>
      <c r="C310" s="346"/>
      <c r="D310" s="112"/>
      <c r="E310" s="749"/>
      <c r="F310" s="816"/>
      <c r="G310" s="851" t="s">
        <v>42</v>
      </c>
      <c r="H310" s="113"/>
      <c r="I310" s="64"/>
      <c r="J310" s="88">
        <f t="shared" si="73"/>
        <v>0</v>
      </c>
      <c r="K310" s="805"/>
      <c r="L310" s="304"/>
      <c r="M310" s="219"/>
      <c r="N310" s="55"/>
      <c r="O310" s="347"/>
      <c r="P310" s="60"/>
    </row>
    <row r="311" spans="1:16" ht="16.5" customHeight="1">
      <c r="A311" s="348">
        <v>77</v>
      </c>
      <c r="B311" s="53" t="s">
        <v>778</v>
      </c>
      <c r="C311" s="165" t="s">
        <v>779</v>
      </c>
      <c r="D311" s="166" t="s">
        <v>780</v>
      </c>
      <c r="E311" s="753"/>
      <c r="F311" s="815"/>
      <c r="G311" s="839" t="s">
        <v>781</v>
      </c>
      <c r="H311" s="36" t="s">
        <v>39</v>
      </c>
      <c r="I311" s="37">
        <v>50</v>
      </c>
      <c r="J311" s="88">
        <f t="shared" si="73"/>
        <v>0</v>
      </c>
      <c r="K311" s="811"/>
      <c r="L311" s="136">
        <f>K311/72</f>
        <v>0</v>
      </c>
      <c r="M311" s="186">
        <f>I311*K311</f>
        <v>0</v>
      </c>
      <c r="N311" s="55">
        <v>26.87</v>
      </c>
      <c r="O311" s="349">
        <f>(K311-N311)/N311</f>
        <v>-1</v>
      </c>
      <c r="P311" s="350">
        <v>36.869999999999997</v>
      </c>
    </row>
    <row r="312" spans="1:16" ht="16.5" customHeight="1">
      <c r="A312" s="351"/>
      <c r="B312" s="115"/>
      <c r="C312" s="346"/>
      <c r="D312" s="110"/>
      <c r="E312" s="755"/>
      <c r="F312" s="816"/>
      <c r="G312" s="851"/>
      <c r="H312" s="113"/>
      <c r="I312" s="64"/>
      <c r="J312" s="290">
        <f t="shared" si="73"/>
        <v>0</v>
      </c>
      <c r="K312" s="813"/>
      <c r="L312" s="143"/>
      <c r="M312" s="219" t="s">
        <v>678</v>
      </c>
      <c r="N312" s="55"/>
      <c r="O312" s="352"/>
      <c r="P312" s="353"/>
    </row>
    <row r="313" spans="1:16" ht="16.5" customHeight="1">
      <c r="A313" s="226">
        <v>78</v>
      </c>
      <c r="B313" s="354" t="s">
        <v>782</v>
      </c>
      <c r="C313" s="355" t="s">
        <v>783</v>
      </c>
      <c r="D313" s="129" t="s">
        <v>784</v>
      </c>
      <c r="E313" s="753"/>
      <c r="F313" s="815"/>
      <c r="G313" s="839" t="s">
        <v>785</v>
      </c>
      <c r="H313" s="36" t="s">
        <v>39</v>
      </c>
      <c r="I313" s="37">
        <v>6</v>
      </c>
      <c r="J313" s="88">
        <f t="shared" si="73"/>
        <v>0</v>
      </c>
      <c r="K313" s="811"/>
      <c r="L313" s="136">
        <f>K313/64</f>
        <v>0</v>
      </c>
      <c r="M313" s="186">
        <f t="shared" ref="M313:M314" si="87">I313*K313</f>
        <v>0</v>
      </c>
      <c r="N313" s="55">
        <v>19.190000000000001</v>
      </c>
      <c r="O313" s="42">
        <f t="shared" ref="O313:O321" si="88">(K313-N313)/N313</f>
        <v>-1</v>
      </c>
      <c r="P313" s="43">
        <v>18.78</v>
      </c>
    </row>
    <row r="314" spans="1:16" ht="16.5" customHeight="1">
      <c r="A314" s="226">
        <v>79</v>
      </c>
      <c r="B314" s="354"/>
      <c r="C314" s="229" t="s">
        <v>786</v>
      </c>
      <c r="D314" s="129" t="s">
        <v>787</v>
      </c>
      <c r="E314" s="755"/>
      <c r="F314" s="816"/>
      <c r="G314" s="851" t="s">
        <v>788</v>
      </c>
      <c r="H314" s="113" t="s">
        <v>39</v>
      </c>
      <c r="I314" s="64">
        <v>4</v>
      </c>
      <c r="J314" s="290">
        <f t="shared" si="73"/>
        <v>0</v>
      </c>
      <c r="K314" s="813"/>
      <c r="L314" s="143">
        <f>K314/90</f>
        <v>0</v>
      </c>
      <c r="M314" s="187">
        <f t="shared" si="87"/>
        <v>0</v>
      </c>
      <c r="N314" s="55">
        <v>26.82</v>
      </c>
      <c r="O314" s="42">
        <f t="shared" si="88"/>
        <v>-1</v>
      </c>
      <c r="P314" s="43">
        <v>26.41</v>
      </c>
    </row>
    <row r="315" spans="1:16" ht="16.5" customHeight="1">
      <c r="A315" s="226">
        <v>80</v>
      </c>
      <c r="B315" s="198" t="s">
        <v>789</v>
      </c>
      <c r="C315" s="165" t="s">
        <v>790</v>
      </c>
      <c r="D315" s="356" t="s">
        <v>791</v>
      </c>
      <c r="E315" s="753"/>
      <c r="F315" s="815"/>
      <c r="G315" s="839" t="s">
        <v>792</v>
      </c>
      <c r="H315" s="36" t="s">
        <v>39</v>
      </c>
      <c r="I315" s="37">
        <v>4</v>
      </c>
      <c r="J315" s="88">
        <f t="shared" si="73"/>
        <v>0</v>
      </c>
      <c r="K315" s="811"/>
      <c r="L315" s="136">
        <f t="shared" ref="L315:L318" si="89">K315/104</f>
        <v>0</v>
      </c>
      <c r="M315" s="40">
        <f t="shared" ref="M315:M320" si="90">K315*I315</f>
        <v>0</v>
      </c>
      <c r="N315" s="55">
        <v>31</v>
      </c>
      <c r="O315" s="42">
        <f t="shared" si="88"/>
        <v>-1</v>
      </c>
      <c r="P315" s="43">
        <v>30.28</v>
      </c>
    </row>
    <row r="316" spans="1:16" ht="16.5" customHeight="1">
      <c r="A316" s="226">
        <v>81</v>
      </c>
      <c r="B316" s="354"/>
      <c r="C316" s="229" t="s">
        <v>793</v>
      </c>
      <c r="D316" s="357" t="s">
        <v>791</v>
      </c>
      <c r="E316" s="755"/>
      <c r="F316" s="816"/>
      <c r="G316" s="851" t="s">
        <v>794</v>
      </c>
      <c r="H316" s="113" t="s">
        <v>39</v>
      </c>
      <c r="I316" s="64">
        <v>3</v>
      </c>
      <c r="J316" s="290">
        <f t="shared" si="73"/>
        <v>0</v>
      </c>
      <c r="K316" s="813"/>
      <c r="L316" s="143">
        <f t="shared" si="89"/>
        <v>0</v>
      </c>
      <c r="M316" s="58">
        <f t="shared" si="90"/>
        <v>0</v>
      </c>
      <c r="N316" s="55">
        <v>31</v>
      </c>
      <c r="O316" s="42">
        <f t="shared" si="88"/>
        <v>-1</v>
      </c>
      <c r="P316" s="43">
        <v>30.28</v>
      </c>
    </row>
    <row r="317" spans="1:16" ht="16.5" customHeight="1">
      <c r="A317" s="226">
        <v>82</v>
      </c>
      <c r="B317" s="354"/>
      <c r="C317" s="229" t="s">
        <v>795</v>
      </c>
      <c r="D317" s="357" t="s">
        <v>791</v>
      </c>
      <c r="E317" s="755"/>
      <c r="F317" s="816"/>
      <c r="G317" s="851" t="s">
        <v>796</v>
      </c>
      <c r="H317" s="113" t="s">
        <v>39</v>
      </c>
      <c r="I317" s="64">
        <v>1</v>
      </c>
      <c r="J317" s="290">
        <f t="shared" si="73"/>
        <v>0</v>
      </c>
      <c r="K317" s="813"/>
      <c r="L317" s="143">
        <f t="shared" si="89"/>
        <v>0</v>
      </c>
      <c r="M317" s="58">
        <f t="shared" si="90"/>
        <v>0</v>
      </c>
      <c r="N317" s="55">
        <v>31</v>
      </c>
      <c r="O317" s="42">
        <f t="shared" si="88"/>
        <v>-1</v>
      </c>
      <c r="P317" s="43">
        <v>30.28</v>
      </c>
    </row>
    <row r="318" spans="1:16" ht="16.5" customHeight="1">
      <c r="A318" s="226">
        <v>83</v>
      </c>
      <c r="B318" s="354"/>
      <c r="C318" s="229" t="s">
        <v>797</v>
      </c>
      <c r="D318" s="357" t="s">
        <v>791</v>
      </c>
      <c r="E318" s="755"/>
      <c r="F318" s="827"/>
      <c r="G318" s="851" t="s">
        <v>798</v>
      </c>
      <c r="H318" s="113" t="s">
        <v>39</v>
      </c>
      <c r="I318" s="64">
        <v>6</v>
      </c>
      <c r="J318" s="290">
        <f t="shared" si="73"/>
        <v>0</v>
      </c>
      <c r="K318" s="813"/>
      <c r="L318" s="143">
        <f t="shared" si="89"/>
        <v>0</v>
      </c>
      <c r="M318" s="58">
        <f t="shared" si="90"/>
        <v>0</v>
      </c>
      <c r="N318" s="55">
        <v>31</v>
      </c>
      <c r="O318" s="42">
        <f t="shared" si="88"/>
        <v>-1</v>
      </c>
      <c r="P318" s="43">
        <v>30.28</v>
      </c>
    </row>
    <row r="319" spans="1:16" ht="16.5" customHeight="1">
      <c r="A319" s="226">
        <v>84</v>
      </c>
      <c r="B319" s="354"/>
      <c r="C319" s="229" t="s">
        <v>799</v>
      </c>
      <c r="D319" s="357" t="s">
        <v>800</v>
      </c>
      <c r="E319" s="755"/>
      <c r="F319" s="816"/>
      <c r="G319" s="851" t="s">
        <v>801</v>
      </c>
      <c r="H319" s="113" t="s">
        <v>39</v>
      </c>
      <c r="I319" s="64">
        <v>3</v>
      </c>
      <c r="J319" s="290">
        <f t="shared" si="73"/>
        <v>0</v>
      </c>
      <c r="K319" s="813"/>
      <c r="L319" s="143">
        <f t="shared" ref="L319:L320" si="91">K319/72</f>
        <v>0</v>
      </c>
      <c r="M319" s="58">
        <f t="shared" si="90"/>
        <v>0</v>
      </c>
      <c r="N319" s="55">
        <v>21.88</v>
      </c>
      <c r="O319" s="42">
        <f t="shared" si="88"/>
        <v>-1</v>
      </c>
      <c r="P319" s="43">
        <v>21.38</v>
      </c>
    </row>
    <row r="320" spans="1:16" ht="16.5" customHeight="1">
      <c r="A320" s="226">
        <v>85</v>
      </c>
      <c r="B320" s="358"/>
      <c r="C320" s="230" t="s">
        <v>802</v>
      </c>
      <c r="D320" s="359" t="s">
        <v>800</v>
      </c>
      <c r="E320" s="754"/>
      <c r="F320" s="817"/>
      <c r="G320" s="852" t="s">
        <v>803</v>
      </c>
      <c r="H320" s="46" t="s">
        <v>39</v>
      </c>
      <c r="I320" s="47">
        <v>1</v>
      </c>
      <c r="J320" s="181">
        <f t="shared" si="73"/>
        <v>0</v>
      </c>
      <c r="K320" s="812"/>
      <c r="L320" s="177">
        <f t="shared" si="91"/>
        <v>0</v>
      </c>
      <c r="M320" s="89">
        <f t="shared" si="90"/>
        <v>0</v>
      </c>
      <c r="N320" s="55">
        <v>21.88</v>
      </c>
      <c r="O320" s="42">
        <f t="shared" si="88"/>
        <v>-1</v>
      </c>
      <c r="P320" s="43">
        <v>21.38</v>
      </c>
    </row>
    <row r="321" spans="1:16" ht="16.5" customHeight="1">
      <c r="A321" s="226">
        <v>86</v>
      </c>
      <c r="B321" s="53" t="s">
        <v>804</v>
      </c>
      <c r="C321" s="307" t="s">
        <v>805</v>
      </c>
      <c r="D321" s="360" t="s">
        <v>806</v>
      </c>
      <c r="E321" s="775"/>
      <c r="F321" s="816"/>
      <c r="G321" s="851" t="s">
        <v>807</v>
      </c>
      <c r="H321" s="113" t="s">
        <v>39</v>
      </c>
      <c r="I321" s="64">
        <v>8</v>
      </c>
      <c r="J321" s="183">
        <f t="shared" si="73"/>
        <v>0</v>
      </c>
      <c r="K321" s="805"/>
      <c r="L321" s="308">
        <f>K321/144</f>
        <v>0</v>
      </c>
      <c r="M321" s="58">
        <f>I321*K321</f>
        <v>0</v>
      </c>
      <c r="N321" s="55">
        <v>43.4</v>
      </c>
      <c r="O321" s="42">
        <f t="shared" si="88"/>
        <v>-1</v>
      </c>
      <c r="P321" s="43">
        <v>41.73</v>
      </c>
    </row>
    <row r="322" spans="1:16" ht="16.5" customHeight="1">
      <c r="A322" s="31"/>
      <c r="B322" s="115"/>
      <c r="C322" s="230" t="s">
        <v>808</v>
      </c>
      <c r="D322" s="359"/>
      <c r="E322" s="752"/>
      <c r="F322" s="817"/>
      <c r="G322" s="845"/>
      <c r="H322" s="46"/>
      <c r="I322" s="47"/>
      <c r="J322" s="38">
        <f t="shared" si="73"/>
        <v>0</v>
      </c>
      <c r="K322" s="805"/>
      <c r="L322" s="309"/>
      <c r="M322" s="223"/>
      <c r="N322" s="55"/>
      <c r="O322" s="42"/>
      <c r="P322" s="52"/>
    </row>
    <row r="323" spans="1:16" ht="16.5" customHeight="1">
      <c r="A323" s="226">
        <v>87</v>
      </c>
      <c r="B323" s="53" t="s">
        <v>809</v>
      </c>
      <c r="C323" s="85" t="s">
        <v>810</v>
      </c>
      <c r="D323" s="129" t="s">
        <v>811</v>
      </c>
      <c r="E323" s="748"/>
      <c r="F323" s="815"/>
      <c r="G323" s="839" t="s">
        <v>812</v>
      </c>
      <c r="H323" s="36" t="s">
        <v>39</v>
      </c>
      <c r="I323" s="37">
        <v>35</v>
      </c>
      <c r="J323" s="38">
        <f t="shared" si="73"/>
        <v>0</v>
      </c>
      <c r="K323" s="811"/>
      <c r="L323" s="300">
        <f>K323/192</f>
        <v>0</v>
      </c>
      <c r="M323" s="40">
        <f>I323*K323</f>
        <v>0</v>
      </c>
      <c r="N323" s="55">
        <v>26.78</v>
      </c>
      <c r="O323" s="42">
        <f>(K323-N323)/N323</f>
        <v>-1</v>
      </c>
      <c r="P323" s="43">
        <v>25.88</v>
      </c>
    </row>
    <row r="324" spans="1:16" ht="16.5" customHeight="1">
      <c r="A324" s="31"/>
      <c r="B324" s="115"/>
      <c r="C324" s="109" t="s">
        <v>813</v>
      </c>
      <c r="D324" s="110"/>
      <c r="E324" s="752"/>
      <c r="F324" s="817"/>
      <c r="G324" s="852"/>
      <c r="H324" s="46"/>
      <c r="I324" s="47"/>
      <c r="J324" s="38">
        <f t="shared" si="73"/>
        <v>0</v>
      </c>
      <c r="K324" s="812"/>
      <c r="L324" s="309"/>
      <c r="M324" s="89"/>
      <c r="N324" s="55"/>
      <c r="O324" s="42"/>
      <c r="P324" s="52"/>
    </row>
    <row r="325" spans="1:16" ht="16.5" customHeight="1">
      <c r="A325" s="226">
        <v>88</v>
      </c>
      <c r="B325" s="53" t="s">
        <v>814</v>
      </c>
      <c r="C325" s="108" t="s">
        <v>815</v>
      </c>
      <c r="D325" s="129" t="s">
        <v>816</v>
      </c>
      <c r="E325" s="748"/>
      <c r="F325" s="815"/>
      <c r="G325" s="839" t="s">
        <v>817</v>
      </c>
      <c r="H325" s="36" t="s">
        <v>39</v>
      </c>
      <c r="I325" s="37">
        <v>10</v>
      </c>
      <c r="J325" s="38">
        <f t="shared" si="73"/>
        <v>0</v>
      </c>
      <c r="K325" s="805"/>
      <c r="L325" s="300">
        <f>K325/144</f>
        <v>0</v>
      </c>
      <c r="M325" s="40">
        <f>I325*K325</f>
        <v>0</v>
      </c>
      <c r="N325" s="55">
        <v>35.21</v>
      </c>
      <c r="O325" s="42">
        <f>(K325-N325)/N325</f>
        <v>-1</v>
      </c>
      <c r="P325" s="43">
        <v>34.01</v>
      </c>
    </row>
    <row r="326" spans="1:16" ht="16.5" customHeight="1">
      <c r="A326" s="31"/>
      <c r="B326" s="115"/>
      <c r="C326" s="109" t="s">
        <v>818</v>
      </c>
      <c r="D326" s="110"/>
      <c r="E326" s="752"/>
      <c r="F326" s="817"/>
      <c r="G326" s="852"/>
      <c r="H326" s="46"/>
      <c r="I326" s="47"/>
      <c r="J326" s="38">
        <f t="shared" si="73"/>
        <v>0</v>
      </c>
      <c r="K326" s="805"/>
      <c r="L326" s="309"/>
      <c r="M326" s="89"/>
      <c r="N326" s="55"/>
      <c r="O326" s="42"/>
      <c r="P326" s="52"/>
    </row>
    <row r="327" spans="1:16" ht="16.5" customHeight="1">
      <c r="A327" s="226">
        <v>89</v>
      </c>
      <c r="B327" s="61" t="s">
        <v>819</v>
      </c>
      <c r="C327" s="313" t="s">
        <v>820</v>
      </c>
      <c r="D327" s="129" t="s">
        <v>821</v>
      </c>
      <c r="E327" s="756"/>
      <c r="F327" s="816"/>
      <c r="G327" s="851" t="s">
        <v>822</v>
      </c>
      <c r="H327" s="113" t="s">
        <v>39</v>
      </c>
      <c r="I327" s="64">
        <v>14</v>
      </c>
      <c r="J327" s="38">
        <f t="shared" si="73"/>
        <v>0</v>
      </c>
      <c r="K327" s="811"/>
      <c r="L327" s="301">
        <f>K327/140</f>
        <v>0</v>
      </c>
      <c r="M327" s="58">
        <f>I327*K327</f>
        <v>0</v>
      </c>
      <c r="N327" s="55">
        <v>38.51</v>
      </c>
      <c r="O327" s="42">
        <f>(K327-N327)/N327</f>
        <v>-1</v>
      </c>
      <c r="P327" s="52">
        <v>38.51</v>
      </c>
    </row>
    <row r="328" spans="1:16" ht="16.5" customHeight="1">
      <c r="A328" s="31"/>
      <c r="B328" s="61"/>
      <c r="C328" s="111" t="s">
        <v>823</v>
      </c>
      <c r="D328" s="110"/>
      <c r="E328" s="756"/>
      <c r="F328" s="816"/>
      <c r="G328" s="851" t="s">
        <v>42</v>
      </c>
      <c r="H328" s="113"/>
      <c r="I328" s="64"/>
      <c r="J328" s="38">
        <f t="shared" si="73"/>
        <v>0</v>
      </c>
      <c r="K328" s="812"/>
      <c r="L328" s="301"/>
      <c r="M328" s="58"/>
      <c r="N328" s="55"/>
      <c r="O328" s="42"/>
      <c r="P328" s="52"/>
    </row>
    <row r="329" spans="1:16" ht="16.5" customHeight="1">
      <c r="A329" s="226">
        <v>90</v>
      </c>
      <c r="B329" s="53" t="s">
        <v>824</v>
      </c>
      <c r="C329" s="361" t="s">
        <v>825</v>
      </c>
      <c r="D329" s="362" t="s">
        <v>806</v>
      </c>
      <c r="E329" s="748"/>
      <c r="F329" s="815"/>
      <c r="G329" s="839" t="s">
        <v>826</v>
      </c>
      <c r="H329" s="36" t="s">
        <v>39</v>
      </c>
      <c r="I329" s="37">
        <v>50</v>
      </c>
      <c r="J329" s="38">
        <f t="shared" si="73"/>
        <v>0</v>
      </c>
      <c r="K329" s="805"/>
      <c r="L329" s="300">
        <f>K329/144</f>
        <v>0</v>
      </c>
      <c r="M329" s="40">
        <f>I329*K329</f>
        <v>0</v>
      </c>
      <c r="N329" s="55">
        <v>27.5</v>
      </c>
      <c r="O329" s="42">
        <f>(K329-N329)/N329</f>
        <v>-1</v>
      </c>
      <c r="P329" s="43">
        <v>27.5</v>
      </c>
    </row>
    <row r="330" spans="1:16" ht="16.5" customHeight="1">
      <c r="A330" s="31"/>
      <c r="B330" s="115"/>
      <c r="C330" s="109" t="s">
        <v>827</v>
      </c>
      <c r="D330" s="116"/>
      <c r="E330" s="752"/>
      <c r="F330" s="817"/>
      <c r="G330" s="852"/>
      <c r="H330" s="46"/>
      <c r="I330" s="47"/>
      <c r="J330" s="38">
        <f t="shared" si="73"/>
        <v>0</v>
      </c>
      <c r="K330" s="805"/>
      <c r="L330" s="309"/>
      <c r="M330" s="89"/>
      <c r="N330" s="55"/>
      <c r="O330" s="76"/>
      <c r="P330" s="52"/>
    </row>
    <row r="331" spans="1:16" ht="16.5" customHeight="1">
      <c r="A331" s="226">
        <v>91</v>
      </c>
      <c r="B331" s="53" t="s">
        <v>828</v>
      </c>
      <c r="C331" s="108" t="s">
        <v>829</v>
      </c>
      <c r="D331" s="129" t="s">
        <v>830</v>
      </c>
      <c r="E331" s="748"/>
      <c r="F331" s="815"/>
      <c r="G331" s="839" t="s">
        <v>831</v>
      </c>
      <c r="H331" s="36" t="s">
        <v>39</v>
      </c>
      <c r="I331" s="37">
        <v>5</v>
      </c>
      <c r="J331" s="38">
        <f t="shared" si="73"/>
        <v>0</v>
      </c>
      <c r="K331" s="811"/>
      <c r="L331" s="300">
        <f>K331/144</f>
        <v>0</v>
      </c>
      <c r="M331" s="40">
        <f>I331*K331</f>
        <v>0</v>
      </c>
      <c r="N331" s="55">
        <v>23.85</v>
      </c>
      <c r="O331" s="42">
        <f>(K331-N331)/N331</f>
        <v>-1</v>
      </c>
      <c r="P331" s="43">
        <v>23.85</v>
      </c>
    </row>
    <row r="332" spans="1:16" ht="16.5" customHeight="1">
      <c r="A332" s="31"/>
      <c r="B332" s="115"/>
      <c r="C332" s="109" t="s">
        <v>832</v>
      </c>
      <c r="D332" s="110"/>
      <c r="E332" s="752"/>
      <c r="F332" s="817"/>
      <c r="G332" s="852" t="s">
        <v>42</v>
      </c>
      <c r="H332" s="46"/>
      <c r="I332" s="47"/>
      <c r="J332" s="38">
        <f t="shared" si="73"/>
        <v>0</v>
      </c>
      <c r="K332" s="812"/>
      <c r="L332" s="309"/>
      <c r="M332" s="89"/>
      <c r="N332" s="55"/>
      <c r="O332" s="51"/>
      <c r="P332" s="52"/>
    </row>
    <row r="333" spans="1:16" ht="16.5" customHeight="1">
      <c r="A333" s="226">
        <v>92</v>
      </c>
      <c r="B333" s="53" t="s">
        <v>833</v>
      </c>
      <c r="C333" s="108" t="s">
        <v>834</v>
      </c>
      <c r="D333" s="362" t="s">
        <v>835</v>
      </c>
      <c r="E333" s="748"/>
      <c r="F333" s="815"/>
      <c r="G333" s="866" t="s">
        <v>836</v>
      </c>
      <c r="H333" s="36" t="s">
        <v>39</v>
      </c>
      <c r="I333" s="37">
        <v>10</v>
      </c>
      <c r="J333" s="38">
        <f t="shared" si="73"/>
        <v>0</v>
      </c>
      <c r="K333" s="811"/>
      <c r="L333" s="300">
        <f>K333/38</f>
        <v>0</v>
      </c>
      <c r="M333" s="40">
        <f>I333*K333</f>
        <v>0</v>
      </c>
      <c r="N333" s="55">
        <v>21.43</v>
      </c>
      <c r="O333" s="42">
        <f>(K333-N333)/N333</f>
        <v>-1</v>
      </c>
      <c r="P333" s="43">
        <v>21.43</v>
      </c>
    </row>
    <row r="334" spans="1:16" ht="16.5" customHeight="1">
      <c r="A334" s="31"/>
      <c r="B334" s="115"/>
      <c r="C334" s="363" t="s">
        <v>837</v>
      </c>
      <c r="D334" s="329"/>
      <c r="E334" s="752"/>
      <c r="F334" s="817"/>
      <c r="G334" s="852"/>
      <c r="H334" s="46"/>
      <c r="I334" s="47"/>
      <c r="J334" s="38">
        <f t="shared" si="73"/>
        <v>0</v>
      </c>
      <c r="K334" s="812"/>
      <c r="L334" s="309"/>
      <c r="M334" s="89"/>
      <c r="N334" s="55"/>
      <c r="O334" s="51"/>
      <c r="P334" s="52"/>
    </row>
    <row r="335" spans="1:16" ht="15.75" customHeight="1">
      <c r="A335" s="226">
        <v>93</v>
      </c>
      <c r="B335" s="119" t="s">
        <v>838</v>
      </c>
      <c r="C335" s="161" t="s">
        <v>839</v>
      </c>
      <c r="D335" s="364" t="s">
        <v>574</v>
      </c>
      <c r="E335" s="757"/>
      <c r="F335" s="819"/>
      <c r="G335" s="867" t="s">
        <v>840</v>
      </c>
      <c r="H335" s="120" t="s">
        <v>39</v>
      </c>
      <c r="I335" s="121">
        <v>10</v>
      </c>
      <c r="J335" s="38">
        <f t="shared" si="73"/>
        <v>0</v>
      </c>
      <c r="K335" s="807"/>
      <c r="L335" s="315">
        <f t="shared" ref="L335:L337" si="92">K335/38</f>
        <v>0</v>
      </c>
      <c r="M335" s="122">
        <f t="shared" ref="M335:M339" si="93">I335*K335</f>
        <v>0</v>
      </c>
      <c r="N335" s="55">
        <v>12.45</v>
      </c>
      <c r="O335" s="42">
        <f t="shared" ref="O335:O338" si="94">(K335-N335)/N335</f>
        <v>-1</v>
      </c>
      <c r="P335" s="43">
        <v>13.25</v>
      </c>
    </row>
    <row r="336" spans="1:16" ht="16.5" customHeight="1">
      <c r="A336" s="226">
        <v>94</v>
      </c>
      <c r="B336" s="119" t="s">
        <v>841</v>
      </c>
      <c r="C336" s="161" t="s">
        <v>842</v>
      </c>
      <c r="D336" s="364" t="s">
        <v>843</v>
      </c>
      <c r="E336" s="757"/>
      <c r="F336" s="819"/>
      <c r="G336" s="867" t="s">
        <v>844</v>
      </c>
      <c r="H336" s="120" t="s">
        <v>39</v>
      </c>
      <c r="I336" s="121">
        <v>20</v>
      </c>
      <c r="J336" s="38">
        <f t="shared" si="73"/>
        <v>0</v>
      </c>
      <c r="K336" s="837"/>
      <c r="L336" s="315">
        <f t="shared" si="92"/>
        <v>0</v>
      </c>
      <c r="M336" s="122">
        <f t="shared" si="93"/>
        <v>0</v>
      </c>
      <c r="N336" s="55">
        <v>15.7</v>
      </c>
      <c r="O336" s="42">
        <f t="shared" si="94"/>
        <v>-1</v>
      </c>
      <c r="P336" s="43">
        <v>17.3</v>
      </c>
    </row>
    <row r="337" spans="1:16" ht="16.5" customHeight="1">
      <c r="A337" s="226">
        <v>95</v>
      </c>
      <c r="B337" s="119" t="s">
        <v>845</v>
      </c>
      <c r="C337" s="161" t="s">
        <v>846</v>
      </c>
      <c r="D337" s="364" t="s">
        <v>843</v>
      </c>
      <c r="E337" s="757"/>
      <c r="F337" s="819"/>
      <c r="G337" s="867" t="s">
        <v>847</v>
      </c>
      <c r="H337" s="120" t="s">
        <v>39</v>
      </c>
      <c r="I337" s="121">
        <v>20</v>
      </c>
      <c r="J337" s="38">
        <f t="shared" si="73"/>
        <v>0</v>
      </c>
      <c r="K337" s="837"/>
      <c r="L337" s="315">
        <f t="shared" si="92"/>
        <v>0</v>
      </c>
      <c r="M337" s="122">
        <f t="shared" si="93"/>
        <v>0</v>
      </c>
      <c r="N337" s="55">
        <v>16.149999999999999</v>
      </c>
      <c r="O337" s="42">
        <f t="shared" si="94"/>
        <v>-1</v>
      </c>
      <c r="P337" s="43">
        <v>17.75</v>
      </c>
    </row>
    <row r="338" spans="1:16" ht="16.5" customHeight="1">
      <c r="A338" s="226">
        <v>96</v>
      </c>
      <c r="B338" s="119" t="s">
        <v>848</v>
      </c>
      <c r="C338" s="161" t="s">
        <v>849</v>
      </c>
      <c r="D338" s="364" t="s">
        <v>850</v>
      </c>
      <c r="E338" s="757"/>
      <c r="F338" s="819"/>
      <c r="G338" s="854" t="s">
        <v>851</v>
      </c>
      <c r="H338" s="120" t="s">
        <v>39</v>
      </c>
      <c r="I338" s="121">
        <v>5</v>
      </c>
      <c r="J338" s="38">
        <f t="shared" si="73"/>
        <v>0</v>
      </c>
      <c r="K338" s="837"/>
      <c r="L338" s="315">
        <f>K338/162</f>
        <v>0</v>
      </c>
      <c r="M338" s="122">
        <f t="shared" si="93"/>
        <v>0</v>
      </c>
      <c r="N338" s="55">
        <v>23.16</v>
      </c>
      <c r="O338" s="42">
        <f t="shared" si="94"/>
        <v>-1</v>
      </c>
      <c r="P338" s="43">
        <v>14.5</v>
      </c>
    </row>
    <row r="339" spans="1:16" ht="23.25">
      <c r="A339" s="365">
        <v>97</v>
      </c>
      <c r="B339" s="366" t="s">
        <v>852</v>
      </c>
      <c r="C339" s="161" t="s">
        <v>853</v>
      </c>
      <c r="D339" s="367"/>
      <c r="E339" s="757"/>
      <c r="F339" s="819"/>
      <c r="G339" s="854" t="s">
        <v>854</v>
      </c>
      <c r="H339" s="120" t="s">
        <v>39</v>
      </c>
      <c r="I339" s="368">
        <v>20</v>
      </c>
      <c r="J339" s="88">
        <f t="shared" si="73"/>
        <v>0</v>
      </c>
      <c r="K339" s="806"/>
      <c r="L339" s="315"/>
      <c r="M339" s="122">
        <f t="shared" si="93"/>
        <v>0</v>
      </c>
      <c r="O339" s="369"/>
      <c r="P339" s="370"/>
    </row>
    <row r="340" spans="1:16" ht="30" customHeight="1">
      <c r="A340" s="246"/>
      <c r="B340" s="557" t="s">
        <v>855</v>
      </c>
      <c r="C340" s="552"/>
      <c r="D340" s="552"/>
      <c r="E340" s="552"/>
      <c r="F340" s="552"/>
      <c r="G340" s="552"/>
      <c r="H340" s="552"/>
      <c r="I340" s="552"/>
      <c r="J340" s="371"/>
      <c r="K340" s="558">
        <f>SUM(M194:M339)</f>
        <v>0</v>
      </c>
      <c r="L340" s="552"/>
      <c r="M340" s="553"/>
      <c r="N340" s="243"/>
      <c r="O340" s="372">
        <f>SUM(O189:O338)/81</f>
        <v>-0.96296296296296291</v>
      </c>
      <c r="P340" s="373" t="s">
        <v>856</v>
      </c>
    </row>
    <row r="341" spans="1:16" ht="30" customHeight="1">
      <c r="A341" s="374"/>
      <c r="B341" s="559" t="s">
        <v>857</v>
      </c>
      <c r="C341" s="552"/>
      <c r="D341" s="552"/>
      <c r="E341" s="552"/>
      <c r="F341" s="552"/>
      <c r="G341" s="552"/>
      <c r="H341" s="552"/>
      <c r="I341" s="552"/>
      <c r="J341" s="552"/>
      <c r="K341" s="552"/>
      <c r="L341" s="552"/>
      <c r="M341" s="553"/>
      <c r="N341" s="28"/>
      <c r="O341" s="375"/>
      <c r="P341" s="376"/>
    </row>
    <row r="342" spans="1:16" ht="16.5" customHeight="1">
      <c r="A342" s="73">
        <v>1</v>
      </c>
      <c r="B342" s="198" t="s">
        <v>858</v>
      </c>
      <c r="C342" s="165" t="s">
        <v>859</v>
      </c>
      <c r="D342" s="362" t="s">
        <v>860</v>
      </c>
      <c r="E342" s="748"/>
      <c r="F342" s="868"/>
      <c r="G342" s="839" t="s">
        <v>861</v>
      </c>
      <c r="H342" s="36" t="s">
        <v>39</v>
      </c>
      <c r="I342" s="316">
        <v>5</v>
      </c>
      <c r="J342" s="38">
        <f>(K342*8%)+K342</f>
        <v>0</v>
      </c>
      <c r="K342" s="903"/>
      <c r="L342" s="377">
        <f>K342/144</f>
        <v>0</v>
      </c>
      <c r="M342" s="186">
        <f>I342*K342</f>
        <v>0</v>
      </c>
      <c r="N342" s="378">
        <v>47.28</v>
      </c>
      <c r="O342" s="42">
        <f>(K342-N342)/N342</f>
        <v>-1</v>
      </c>
      <c r="P342" s="379">
        <v>46.87</v>
      </c>
    </row>
    <row r="343" spans="1:16" ht="16.5" customHeight="1">
      <c r="A343" s="226">
        <v>2</v>
      </c>
      <c r="B343" s="380"/>
      <c r="C343" s="230" t="s">
        <v>862</v>
      </c>
      <c r="D343" s="329" t="s">
        <v>860</v>
      </c>
      <c r="E343" s="752"/>
      <c r="F343" s="869"/>
      <c r="G343" s="852" t="s">
        <v>863</v>
      </c>
      <c r="H343" s="46" t="s">
        <v>39</v>
      </c>
      <c r="I343" s="293">
        <v>5</v>
      </c>
      <c r="J343" s="188"/>
      <c r="K343" s="904"/>
      <c r="L343" s="381"/>
      <c r="M343" s="223"/>
      <c r="N343" s="382">
        <v>47.28</v>
      </c>
      <c r="O343" s="76"/>
      <c r="P343" s="52"/>
    </row>
    <row r="344" spans="1:16" ht="87" customHeight="1">
      <c r="A344" s="226">
        <v>3</v>
      </c>
      <c r="B344" s="61" t="s">
        <v>864</v>
      </c>
      <c r="C344" s="383" t="s">
        <v>865</v>
      </c>
      <c r="D344" s="384" t="s">
        <v>866</v>
      </c>
      <c r="E344" s="752"/>
      <c r="F344" s="870"/>
      <c r="G344" s="871" t="s">
        <v>867</v>
      </c>
      <c r="H344" s="46" t="s">
        <v>330</v>
      </c>
      <c r="I344" s="47">
        <v>294</v>
      </c>
      <c r="J344" s="188">
        <f>(K344*8%)+K344</f>
        <v>0</v>
      </c>
      <c r="K344" s="797"/>
      <c r="L344" s="309">
        <f>K344/96</f>
        <v>0</v>
      </c>
      <c r="M344" s="189">
        <f>I344*K344</f>
        <v>0</v>
      </c>
      <c r="N344" s="50">
        <v>22.88</v>
      </c>
      <c r="O344" s="42">
        <f>(K344-N344)/N344</f>
        <v>-1</v>
      </c>
      <c r="P344" s="43">
        <v>35.590000000000003</v>
      </c>
    </row>
    <row r="345" spans="1:16" ht="24.75">
      <c r="A345" s="226">
        <v>4</v>
      </c>
      <c r="B345" s="307"/>
      <c r="C345" s="385" t="s">
        <v>868</v>
      </c>
      <c r="D345" s="364" t="s">
        <v>866</v>
      </c>
      <c r="E345" s="757"/>
      <c r="F345" s="758"/>
      <c r="G345" s="872" t="s">
        <v>869</v>
      </c>
      <c r="H345" s="120"/>
      <c r="I345" s="121"/>
      <c r="J345" s="127"/>
      <c r="K345" s="905"/>
      <c r="L345" s="315"/>
      <c r="M345" s="163"/>
      <c r="N345" s="386">
        <v>22.88</v>
      </c>
      <c r="O345" s="76"/>
      <c r="P345" s="52"/>
    </row>
    <row r="346" spans="1:16" ht="24.75">
      <c r="A346" s="226">
        <v>5</v>
      </c>
      <c r="B346" s="307"/>
      <c r="C346" s="385" t="s">
        <v>870</v>
      </c>
      <c r="D346" s="364" t="s">
        <v>866</v>
      </c>
      <c r="E346" s="757"/>
      <c r="F346" s="758"/>
      <c r="G346" s="872" t="s">
        <v>871</v>
      </c>
      <c r="H346" s="120"/>
      <c r="I346" s="121"/>
      <c r="J346" s="127">
        <f>(K346*8%)+K346</f>
        <v>0</v>
      </c>
      <c r="K346" s="905"/>
      <c r="L346" s="315"/>
      <c r="M346" s="163"/>
      <c r="N346" s="386">
        <v>22.88</v>
      </c>
      <c r="O346" s="76"/>
      <c r="P346" s="52"/>
    </row>
    <row r="347" spans="1:16" ht="24.75">
      <c r="A347" s="226">
        <v>6</v>
      </c>
      <c r="B347" s="307"/>
      <c r="C347" s="385" t="s">
        <v>872</v>
      </c>
      <c r="D347" s="364" t="s">
        <v>866</v>
      </c>
      <c r="E347" s="757"/>
      <c r="F347" s="758"/>
      <c r="G347" s="872" t="s">
        <v>873</v>
      </c>
      <c r="H347" s="120"/>
      <c r="I347" s="121"/>
      <c r="J347" s="127"/>
      <c r="K347" s="905"/>
      <c r="L347" s="315"/>
      <c r="M347" s="122"/>
      <c r="N347" s="386">
        <v>22.88</v>
      </c>
      <c r="O347" s="76"/>
      <c r="P347" s="52"/>
    </row>
    <row r="348" spans="1:16" ht="24.75">
      <c r="A348" s="226">
        <v>7</v>
      </c>
      <c r="B348" s="307"/>
      <c r="C348" s="385" t="s">
        <v>874</v>
      </c>
      <c r="D348" s="364" t="s">
        <v>866</v>
      </c>
      <c r="E348" s="757"/>
      <c r="F348" s="758"/>
      <c r="G348" s="872" t="s">
        <v>875</v>
      </c>
      <c r="H348" s="120"/>
      <c r="I348" s="121"/>
      <c r="J348" s="127"/>
      <c r="K348" s="905"/>
      <c r="L348" s="315"/>
      <c r="M348" s="122"/>
      <c r="N348" s="386">
        <v>22.88</v>
      </c>
      <c r="O348" s="76"/>
      <c r="P348" s="52"/>
    </row>
    <row r="349" spans="1:16" ht="24.75">
      <c r="A349" s="226">
        <v>8</v>
      </c>
      <c r="B349" s="328"/>
      <c r="C349" s="385" t="s">
        <v>876</v>
      </c>
      <c r="D349" s="356" t="s">
        <v>866</v>
      </c>
      <c r="E349" s="757"/>
      <c r="F349" s="758"/>
      <c r="G349" s="872" t="s">
        <v>877</v>
      </c>
      <c r="H349" s="120"/>
      <c r="I349" s="121"/>
      <c r="J349" s="127"/>
      <c r="K349" s="905"/>
      <c r="L349" s="315">
        <f>K349/96</f>
        <v>0</v>
      </c>
      <c r="M349" s="122"/>
      <c r="N349" s="386">
        <v>22.88</v>
      </c>
      <c r="O349" s="76"/>
      <c r="P349" s="52"/>
    </row>
    <row r="350" spans="1:16" ht="16.5" customHeight="1">
      <c r="A350" s="226">
        <v>9</v>
      </c>
      <c r="B350" s="53" t="s">
        <v>878</v>
      </c>
      <c r="C350" s="33" t="s">
        <v>879</v>
      </c>
      <c r="D350" s="387"/>
      <c r="E350" s="873"/>
      <c r="F350" s="815"/>
      <c r="G350" s="839" t="s">
        <v>880</v>
      </c>
      <c r="H350" s="36" t="s">
        <v>39</v>
      </c>
      <c r="I350" s="37">
        <v>5</v>
      </c>
      <c r="J350" s="38">
        <f t="shared" ref="J350:J355" si="95">(K350*8%)+K350</f>
        <v>0</v>
      </c>
      <c r="K350" s="796"/>
      <c r="L350" s="300">
        <f>K350/144</f>
        <v>0</v>
      </c>
      <c r="M350" s="40">
        <f>I350*K350</f>
        <v>0</v>
      </c>
      <c r="N350" s="41">
        <v>22.48</v>
      </c>
      <c r="O350" s="42">
        <f>(K350-N350)/N350</f>
        <v>-1</v>
      </c>
      <c r="P350" s="43">
        <v>22.85</v>
      </c>
    </row>
    <row r="351" spans="1:16" ht="16.5" customHeight="1">
      <c r="A351" s="31"/>
      <c r="B351" s="115"/>
      <c r="C351" s="388" t="s">
        <v>881</v>
      </c>
      <c r="D351" s="389" t="s">
        <v>64</v>
      </c>
      <c r="E351" s="874"/>
      <c r="F351" s="817"/>
      <c r="G351" s="852" t="s">
        <v>882</v>
      </c>
      <c r="H351" s="46"/>
      <c r="I351" s="47"/>
      <c r="J351" s="38">
        <f t="shared" si="95"/>
        <v>0</v>
      </c>
      <c r="K351" s="797"/>
      <c r="L351" s="309"/>
      <c r="M351" s="223"/>
      <c r="N351" s="50"/>
      <c r="O351" s="76"/>
      <c r="P351" s="52"/>
    </row>
    <row r="352" spans="1:16" ht="16.5" customHeight="1">
      <c r="A352" s="226">
        <v>10</v>
      </c>
      <c r="B352" s="53" t="s">
        <v>883</v>
      </c>
      <c r="C352" s="108" t="s">
        <v>884</v>
      </c>
      <c r="D352" s="390" t="s">
        <v>64</v>
      </c>
      <c r="E352" s="748"/>
      <c r="F352" s="815"/>
      <c r="G352" s="839" t="s">
        <v>885</v>
      </c>
      <c r="H352" s="36" t="s">
        <v>39</v>
      </c>
      <c r="I352" s="37">
        <v>10</v>
      </c>
      <c r="J352" s="38">
        <f t="shared" si="95"/>
        <v>0</v>
      </c>
      <c r="K352" s="796"/>
      <c r="L352" s="300">
        <f>K352/144</f>
        <v>0</v>
      </c>
      <c r="M352" s="40">
        <f>K352*I352</f>
        <v>0</v>
      </c>
      <c r="N352" s="41">
        <v>34.33</v>
      </c>
      <c r="O352" s="42">
        <f>(K352-N352)/N352</f>
        <v>-1</v>
      </c>
      <c r="P352" s="43">
        <v>32.44</v>
      </c>
    </row>
    <row r="353" spans="1:16" ht="15.75">
      <c r="A353" s="31"/>
      <c r="B353" s="115"/>
      <c r="C353" s="222"/>
      <c r="D353" s="391"/>
      <c r="E353" s="875"/>
      <c r="F353" s="817"/>
      <c r="G353" s="852" t="s">
        <v>886</v>
      </c>
      <c r="H353" s="46"/>
      <c r="I353" s="47"/>
      <c r="J353" s="38">
        <f t="shared" si="95"/>
        <v>0</v>
      </c>
      <c r="K353" s="797"/>
      <c r="L353" s="309"/>
      <c r="M353" s="223"/>
      <c r="N353" s="50"/>
      <c r="O353" s="76"/>
      <c r="P353" s="52"/>
    </row>
    <row r="354" spans="1:16" ht="16.5" customHeight="1">
      <c r="A354" s="226">
        <v>11</v>
      </c>
      <c r="B354" s="53" t="s">
        <v>887</v>
      </c>
      <c r="C354" s="108" t="s">
        <v>888</v>
      </c>
      <c r="D354" s="362" t="s">
        <v>37</v>
      </c>
      <c r="E354" s="748"/>
      <c r="F354" s="815"/>
      <c r="G354" s="839" t="s">
        <v>885</v>
      </c>
      <c r="H354" s="36" t="s">
        <v>39</v>
      </c>
      <c r="I354" s="37">
        <v>5</v>
      </c>
      <c r="J354" s="38">
        <f t="shared" si="95"/>
        <v>0</v>
      </c>
      <c r="K354" s="796"/>
      <c r="L354" s="300">
        <f>K354/10</f>
        <v>0</v>
      </c>
      <c r="M354" s="40">
        <f>I354*K354</f>
        <v>0</v>
      </c>
      <c r="N354" s="41">
        <v>24.55</v>
      </c>
      <c r="O354" s="42">
        <f>(K354-N354)/N354</f>
        <v>-1</v>
      </c>
      <c r="P354" s="43">
        <v>22.95</v>
      </c>
    </row>
    <row r="355" spans="1:16" ht="16.5" customHeight="1">
      <c r="A355" s="31"/>
      <c r="B355" s="61"/>
      <c r="C355" s="179"/>
      <c r="D355" s="112"/>
      <c r="E355" s="756"/>
      <c r="F355" s="816"/>
      <c r="G355" s="851" t="s">
        <v>889</v>
      </c>
      <c r="H355" s="113"/>
      <c r="I355" s="64"/>
      <c r="J355" s="38">
        <f t="shared" si="95"/>
        <v>0</v>
      </c>
      <c r="K355" s="831"/>
      <c r="L355" s="301" t="s">
        <v>33</v>
      </c>
      <c r="M355" s="58"/>
      <c r="N355" s="299"/>
      <c r="O355" s="76"/>
      <c r="P355" s="52"/>
    </row>
    <row r="356" spans="1:16" ht="16.5" customHeight="1">
      <c r="A356" s="226">
        <v>12</v>
      </c>
      <c r="B356" s="53" t="s">
        <v>890</v>
      </c>
      <c r="C356" s="114" t="s">
        <v>891</v>
      </c>
      <c r="D356" s="392" t="s">
        <v>892</v>
      </c>
      <c r="E356" s="876"/>
      <c r="F356" s="815"/>
      <c r="G356" s="839" t="s">
        <v>893</v>
      </c>
      <c r="H356" s="36" t="s">
        <v>591</v>
      </c>
      <c r="I356" s="37">
        <v>15</v>
      </c>
      <c r="J356" s="38"/>
      <c r="K356" s="796"/>
      <c r="L356" s="300">
        <f t="shared" ref="L356:L358" si="96">K356/200</f>
        <v>0</v>
      </c>
      <c r="M356" s="40"/>
      <c r="N356" s="41">
        <v>49.05</v>
      </c>
      <c r="O356" s="76"/>
      <c r="P356" s="52"/>
    </row>
    <row r="357" spans="1:16" ht="16.5" customHeight="1">
      <c r="A357" s="226"/>
      <c r="B357" s="61"/>
      <c r="C357" s="111" t="s">
        <v>894</v>
      </c>
      <c r="D357" s="393" t="s">
        <v>892</v>
      </c>
      <c r="E357" s="877"/>
      <c r="F357" s="816"/>
      <c r="G357" s="851" t="s">
        <v>895</v>
      </c>
      <c r="H357" s="113" t="s">
        <v>591</v>
      </c>
      <c r="I357" s="64">
        <v>15</v>
      </c>
      <c r="J357" s="130"/>
      <c r="K357" s="831"/>
      <c r="L357" s="301">
        <f t="shared" si="96"/>
        <v>0</v>
      </c>
      <c r="M357" s="58"/>
      <c r="N357" s="299">
        <v>49.05</v>
      </c>
      <c r="O357" s="76"/>
      <c r="P357" s="52"/>
    </row>
    <row r="358" spans="1:16" ht="16.5" customHeight="1">
      <c r="A358" s="226"/>
      <c r="B358" s="115"/>
      <c r="C358" s="109" t="s">
        <v>896</v>
      </c>
      <c r="D358" s="394"/>
      <c r="E358" s="875"/>
      <c r="F358" s="817"/>
      <c r="G358" s="852" t="s">
        <v>897</v>
      </c>
      <c r="H358" s="46" t="s">
        <v>591</v>
      </c>
      <c r="I358" s="47">
        <v>15</v>
      </c>
      <c r="J358" s="188"/>
      <c r="K358" s="797"/>
      <c r="L358" s="309">
        <f t="shared" si="96"/>
        <v>0</v>
      </c>
      <c r="M358" s="89"/>
      <c r="N358" s="50">
        <v>49.05</v>
      </c>
      <c r="O358" s="76"/>
      <c r="P358" s="52"/>
    </row>
    <row r="359" spans="1:16" ht="15.75">
      <c r="A359" s="226">
        <v>13</v>
      </c>
      <c r="B359" s="115" t="s">
        <v>898</v>
      </c>
      <c r="C359" s="109" t="s">
        <v>899</v>
      </c>
      <c r="D359" s="395" t="s">
        <v>900</v>
      </c>
      <c r="E359" s="875"/>
      <c r="F359" s="817"/>
      <c r="G359" s="852" t="s">
        <v>901</v>
      </c>
      <c r="H359" s="46" t="s">
        <v>902</v>
      </c>
      <c r="I359" s="47">
        <v>20</v>
      </c>
      <c r="J359" s="130">
        <f t="shared" ref="J359:J360" si="97">(K359*8%)+K359</f>
        <v>0</v>
      </c>
      <c r="K359" s="797"/>
      <c r="L359" s="309">
        <f t="shared" ref="L359:L360" si="98">K359/144</f>
        <v>0</v>
      </c>
      <c r="M359" s="89">
        <f t="shared" ref="M359:M360" si="99">I359*K359</f>
        <v>0</v>
      </c>
      <c r="N359" s="50">
        <v>8.6999999999999993</v>
      </c>
      <c r="O359" s="42">
        <f t="shared" ref="O359:O360" si="100">(K359-N359)/N359</f>
        <v>-1</v>
      </c>
      <c r="P359" s="52">
        <v>8.25</v>
      </c>
    </row>
    <row r="360" spans="1:16" ht="15.75" customHeight="1">
      <c r="A360" s="226">
        <v>14</v>
      </c>
      <c r="B360" s="61" t="s">
        <v>903</v>
      </c>
      <c r="C360" s="123" t="s">
        <v>904</v>
      </c>
      <c r="D360" s="396" t="s">
        <v>905</v>
      </c>
      <c r="E360" s="878"/>
      <c r="F360" s="816"/>
      <c r="G360" s="879" t="s">
        <v>906</v>
      </c>
      <c r="H360" s="113" t="s">
        <v>39</v>
      </c>
      <c r="I360" s="64">
        <v>20</v>
      </c>
      <c r="J360" s="88">
        <f t="shared" si="97"/>
        <v>0</v>
      </c>
      <c r="K360" s="833"/>
      <c r="L360" s="304">
        <f t="shared" si="98"/>
        <v>0</v>
      </c>
      <c r="M360" s="58">
        <f t="shared" si="99"/>
        <v>0</v>
      </c>
      <c r="N360" s="299">
        <v>37.51</v>
      </c>
      <c r="O360" s="42">
        <f t="shared" si="100"/>
        <v>-1</v>
      </c>
      <c r="P360" s="52">
        <v>39.25</v>
      </c>
    </row>
    <row r="361" spans="1:16" ht="16.5" customHeight="1">
      <c r="A361" s="226"/>
      <c r="B361" s="53" t="s">
        <v>907</v>
      </c>
      <c r="C361" s="164" t="s">
        <v>908</v>
      </c>
      <c r="D361" s="225"/>
      <c r="E361" s="753"/>
      <c r="F361" s="740"/>
      <c r="G361" s="839"/>
      <c r="H361" s="36"/>
      <c r="I361" s="37"/>
      <c r="J361" s="88"/>
      <c r="K361" s="834"/>
      <c r="L361" s="136"/>
      <c r="M361" s="40"/>
      <c r="N361" s="261">
        <v>6.81</v>
      </c>
      <c r="O361" s="76"/>
      <c r="P361" s="52"/>
    </row>
    <row r="362" spans="1:16" ht="16.5" customHeight="1">
      <c r="A362" s="226">
        <v>15</v>
      </c>
      <c r="B362" s="61"/>
      <c r="C362" s="397" t="s">
        <v>909</v>
      </c>
      <c r="D362" s="357" t="s">
        <v>910</v>
      </c>
      <c r="E362" s="755"/>
      <c r="F362" s="750"/>
      <c r="G362" s="851" t="s">
        <v>911</v>
      </c>
      <c r="H362" s="113" t="s">
        <v>39</v>
      </c>
      <c r="I362" s="64">
        <v>2700</v>
      </c>
      <c r="J362" s="290"/>
      <c r="K362" s="828"/>
      <c r="L362" s="143">
        <f t="shared" ref="L362:L365" si="101">K362/40</f>
        <v>0</v>
      </c>
      <c r="M362" s="58">
        <f>K362*I362</f>
        <v>0</v>
      </c>
      <c r="N362" s="261">
        <v>6.81</v>
      </c>
      <c r="O362" s="76"/>
      <c r="P362" s="52"/>
    </row>
    <row r="363" spans="1:16" ht="16.5" customHeight="1">
      <c r="A363" s="226">
        <v>16</v>
      </c>
      <c r="B363" s="61"/>
      <c r="C363" s="397" t="s">
        <v>912</v>
      </c>
      <c r="D363" s="357" t="s">
        <v>910</v>
      </c>
      <c r="E363" s="755"/>
      <c r="F363" s="750"/>
      <c r="G363" s="851"/>
      <c r="H363" s="113"/>
      <c r="I363" s="64"/>
      <c r="J363" s="290"/>
      <c r="K363" s="828"/>
      <c r="L363" s="143">
        <f t="shared" si="101"/>
        <v>0</v>
      </c>
      <c r="M363" s="58"/>
      <c r="N363" s="287">
        <v>6.81</v>
      </c>
      <c r="O363" s="76"/>
      <c r="P363" s="52"/>
    </row>
    <row r="364" spans="1:16" ht="16.5" customHeight="1">
      <c r="A364" s="226">
        <v>17</v>
      </c>
      <c r="B364" s="61"/>
      <c r="C364" s="397" t="s">
        <v>913</v>
      </c>
      <c r="D364" s="357" t="s">
        <v>910</v>
      </c>
      <c r="E364" s="755"/>
      <c r="F364" s="750"/>
      <c r="G364" s="851"/>
      <c r="H364" s="113"/>
      <c r="I364" s="64"/>
      <c r="J364" s="290"/>
      <c r="K364" s="828"/>
      <c r="L364" s="143">
        <f t="shared" si="101"/>
        <v>0</v>
      </c>
      <c r="M364" s="58"/>
      <c r="N364" s="287">
        <v>6.81</v>
      </c>
      <c r="O364" s="76"/>
      <c r="P364" s="52"/>
    </row>
    <row r="365" spans="1:16" ht="16.5" customHeight="1">
      <c r="A365" s="226">
        <v>18</v>
      </c>
      <c r="B365" s="61"/>
      <c r="C365" s="397" t="s">
        <v>914</v>
      </c>
      <c r="D365" s="357" t="s">
        <v>910</v>
      </c>
      <c r="E365" s="755"/>
      <c r="F365" s="750"/>
      <c r="G365" s="851"/>
      <c r="H365" s="113"/>
      <c r="I365" s="64"/>
      <c r="J365" s="290"/>
      <c r="K365" s="828"/>
      <c r="L365" s="143">
        <f t="shared" si="101"/>
        <v>0</v>
      </c>
      <c r="M365" s="58"/>
      <c r="N365" s="287">
        <v>6.81</v>
      </c>
      <c r="O365" s="76"/>
      <c r="P365" s="52"/>
    </row>
    <row r="366" spans="1:16" ht="16.5" customHeight="1">
      <c r="A366" s="226">
        <v>19</v>
      </c>
      <c r="B366" s="61"/>
      <c r="C366" s="397" t="s">
        <v>915</v>
      </c>
      <c r="D366" s="182" t="s">
        <v>916</v>
      </c>
      <c r="E366" s="755"/>
      <c r="F366" s="750"/>
      <c r="G366" s="851"/>
      <c r="H366" s="113"/>
      <c r="I366" s="64"/>
      <c r="J366" s="290"/>
      <c r="K366" s="828"/>
      <c r="L366" s="143">
        <f t="shared" ref="L366:L367" si="102">K366/44</f>
        <v>0</v>
      </c>
      <c r="M366" s="58"/>
      <c r="N366" s="287">
        <v>9.9</v>
      </c>
      <c r="O366" s="76"/>
      <c r="P366" s="52"/>
    </row>
    <row r="367" spans="1:16" ht="16.5" customHeight="1">
      <c r="A367" s="226">
        <v>20</v>
      </c>
      <c r="B367" s="61"/>
      <c r="C367" s="397" t="s">
        <v>917</v>
      </c>
      <c r="D367" s="180" t="s">
        <v>916</v>
      </c>
      <c r="E367" s="754"/>
      <c r="F367" s="742"/>
      <c r="G367" s="852"/>
      <c r="H367" s="46"/>
      <c r="I367" s="47"/>
      <c r="J367" s="181"/>
      <c r="K367" s="829"/>
      <c r="L367" s="177">
        <f t="shared" si="102"/>
        <v>0</v>
      </c>
      <c r="M367" s="89"/>
      <c r="N367" s="398">
        <v>9.9</v>
      </c>
      <c r="O367" s="42"/>
      <c r="P367" s="52"/>
    </row>
    <row r="368" spans="1:16" ht="16.5" customHeight="1">
      <c r="A368" s="305">
        <v>21</v>
      </c>
      <c r="B368" s="53" t="s">
        <v>918</v>
      </c>
      <c r="C368" s="108" t="s">
        <v>919</v>
      </c>
      <c r="D368" s="357" t="s">
        <v>920</v>
      </c>
      <c r="E368" s="755"/>
      <c r="F368" s="816"/>
      <c r="G368" s="851" t="s">
        <v>921</v>
      </c>
      <c r="H368" s="113" t="s">
        <v>39</v>
      </c>
      <c r="I368" s="64">
        <v>9</v>
      </c>
      <c r="J368" s="290">
        <f t="shared" ref="J368:J383" si="103">(K368*8%)+K368</f>
        <v>0</v>
      </c>
      <c r="K368" s="828"/>
      <c r="L368" s="143">
        <f t="shared" ref="L368:L372" si="104">K368/24</f>
        <v>0</v>
      </c>
      <c r="M368" s="58">
        <f t="shared" ref="M368:M373" si="105">I368*K368</f>
        <v>0</v>
      </c>
      <c r="N368" s="398">
        <v>13.15</v>
      </c>
      <c r="O368" s="42">
        <f t="shared" ref="O368:O376" si="106">(K368-N368)/N368</f>
        <v>-1</v>
      </c>
      <c r="P368" s="52">
        <v>12.15</v>
      </c>
    </row>
    <row r="369" spans="1:16" ht="16.5" customHeight="1">
      <c r="A369" s="305">
        <v>22</v>
      </c>
      <c r="B369" s="61"/>
      <c r="C369" s="179" t="s">
        <v>922</v>
      </c>
      <c r="D369" s="357" t="s">
        <v>920</v>
      </c>
      <c r="E369" s="755"/>
      <c r="F369" s="816"/>
      <c r="G369" s="851" t="s">
        <v>923</v>
      </c>
      <c r="H369" s="113" t="s">
        <v>39</v>
      </c>
      <c r="I369" s="64">
        <v>6</v>
      </c>
      <c r="J369" s="290">
        <f t="shared" si="103"/>
        <v>0</v>
      </c>
      <c r="K369" s="828"/>
      <c r="L369" s="143">
        <f t="shared" si="104"/>
        <v>0</v>
      </c>
      <c r="M369" s="58">
        <f t="shared" si="105"/>
        <v>0</v>
      </c>
      <c r="N369" s="399">
        <v>13.15</v>
      </c>
      <c r="O369" s="42">
        <f t="shared" si="106"/>
        <v>-1</v>
      </c>
      <c r="P369" s="52">
        <v>12.15</v>
      </c>
    </row>
    <row r="370" spans="1:16" ht="16.5" customHeight="1">
      <c r="A370" s="305">
        <v>23</v>
      </c>
      <c r="B370" s="61"/>
      <c r="C370" s="179" t="s">
        <v>924</v>
      </c>
      <c r="D370" s="357" t="s">
        <v>920</v>
      </c>
      <c r="E370" s="755"/>
      <c r="F370" s="816"/>
      <c r="G370" s="851" t="s">
        <v>925</v>
      </c>
      <c r="H370" s="113" t="s">
        <v>39</v>
      </c>
      <c r="I370" s="64">
        <v>8</v>
      </c>
      <c r="J370" s="290">
        <f t="shared" si="103"/>
        <v>0</v>
      </c>
      <c r="K370" s="828"/>
      <c r="L370" s="143">
        <f t="shared" si="104"/>
        <v>0</v>
      </c>
      <c r="M370" s="58">
        <f t="shared" si="105"/>
        <v>0</v>
      </c>
      <c r="N370" s="399">
        <v>13.15</v>
      </c>
      <c r="O370" s="42">
        <f t="shared" si="106"/>
        <v>-1</v>
      </c>
      <c r="P370" s="52">
        <v>12.15</v>
      </c>
    </row>
    <row r="371" spans="1:16" ht="16.5" customHeight="1">
      <c r="A371" s="305">
        <v>24</v>
      </c>
      <c r="B371" s="61"/>
      <c r="C371" s="172"/>
      <c r="D371" s="357" t="s">
        <v>920</v>
      </c>
      <c r="E371" s="755"/>
      <c r="F371" s="816"/>
      <c r="G371" s="851" t="s">
        <v>926</v>
      </c>
      <c r="H371" s="113" t="s">
        <v>39</v>
      </c>
      <c r="I371" s="64">
        <v>4</v>
      </c>
      <c r="J371" s="290">
        <f t="shared" si="103"/>
        <v>0</v>
      </c>
      <c r="K371" s="828"/>
      <c r="L371" s="143">
        <f t="shared" si="104"/>
        <v>0</v>
      </c>
      <c r="M371" s="58">
        <f t="shared" si="105"/>
        <v>0</v>
      </c>
      <c r="N371" s="399">
        <v>13.15</v>
      </c>
      <c r="O371" s="42">
        <f t="shared" si="106"/>
        <v>-1</v>
      </c>
      <c r="P371" s="43">
        <v>12.15</v>
      </c>
    </row>
    <row r="372" spans="1:16" ht="16.5" customHeight="1">
      <c r="A372" s="305">
        <v>25</v>
      </c>
      <c r="B372" s="115"/>
      <c r="C372" s="138"/>
      <c r="D372" s="359" t="s">
        <v>920</v>
      </c>
      <c r="E372" s="754"/>
      <c r="F372" s="817"/>
      <c r="G372" s="852" t="s">
        <v>927</v>
      </c>
      <c r="H372" s="46" t="s">
        <v>39</v>
      </c>
      <c r="I372" s="47">
        <v>6</v>
      </c>
      <c r="J372" s="181">
        <f t="shared" si="103"/>
        <v>0</v>
      </c>
      <c r="K372" s="829"/>
      <c r="L372" s="177">
        <f t="shared" si="104"/>
        <v>0</v>
      </c>
      <c r="M372" s="89">
        <f t="shared" si="105"/>
        <v>0</v>
      </c>
      <c r="N372" s="261">
        <v>13.15</v>
      </c>
      <c r="O372" s="42">
        <f t="shared" si="106"/>
        <v>-1</v>
      </c>
      <c r="P372" s="43">
        <v>12.15</v>
      </c>
    </row>
    <row r="373" spans="1:16" ht="16.5" customHeight="1">
      <c r="A373" s="226">
        <v>26</v>
      </c>
      <c r="B373" s="115" t="s">
        <v>928</v>
      </c>
      <c r="C373" s="158" t="s">
        <v>929</v>
      </c>
      <c r="D373" s="400" t="s">
        <v>64</v>
      </c>
      <c r="E373" s="880"/>
      <c r="F373" s="817"/>
      <c r="G373" s="852" t="s">
        <v>930</v>
      </c>
      <c r="H373" s="46" t="s">
        <v>39</v>
      </c>
      <c r="I373" s="47">
        <v>100</v>
      </c>
      <c r="J373" s="183">
        <f t="shared" si="103"/>
        <v>0</v>
      </c>
      <c r="K373" s="829"/>
      <c r="L373" s="177">
        <f t="shared" ref="L373:L376" si="107">K373/144</f>
        <v>0</v>
      </c>
      <c r="M373" s="89">
        <f t="shared" si="105"/>
        <v>0</v>
      </c>
      <c r="N373" s="386">
        <v>27.55</v>
      </c>
      <c r="O373" s="42">
        <f t="shared" si="106"/>
        <v>-1</v>
      </c>
      <c r="P373" s="262">
        <v>30.8</v>
      </c>
    </row>
    <row r="374" spans="1:16" ht="16.5" customHeight="1">
      <c r="A374" s="226">
        <v>27</v>
      </c>
      <c r="B374" s="53" t="s">
        <v>931</v>
      </c>
      <c r="C374" s="135" t="s">
        <v>932</v>
      </c>
      <c r="D374" s="400" t="s">
        <v>64</v>
      </c>
      <c r="E374" s="876"/>
      <c r="F374" s="815"/>
      <c r="G374" s="839" t="s">
        <v>933</v>
      </c>
      <c r="H374" s="36" t="s">
        <v>39</v>
      </c>
      <c r="I374" s="37">
        <v>30</v>
      </c>
      <c r="J374" s="38">
        <f t="shared" si="103"/>
        <v>0</v>
      </c>
      <c r="K374" s="796"/>
      <c r="L374" s="300">
        <f t="shared" si="107"/>
        <v>0</v>
      </c>
      <c r="M374" s="40">
        <f>I373*K374</f>
        <v>0</v>
      </c>
      <c r="N374" s="41">
        <v>37.19</v>
      </c>
      <c r="O374" s="42">
        <f t="shared" si="106"/>
        <v>-1</v>
      </c>
      <c r="P374" s="43">
        <v>38.58</v>
      </c>
    </row>
    <row r="375" spans="1:16" ht="16.5" customHeight="1">
      <c r="A375" s="226">
        <v>28</v>
      </c>
      <c r="B375" s="119" t="s">
        <v>934</v>
      </c>
      <c r="C375" s="161" t="s">
        <v>935</v>
      </c>
      <c r="D375" s="45" t="s">
        <v>64</v>
      </c>
      <c r="E375" s="881"/>
      <c r="F375" s="819"/>
      <c r="G375" s="854" t="s">
        <v>936</v>
      </c>
      <c r="H375" s="401" t="s">
        <v>39</v>
      </c>
      <c r="I375" s="320">
        <v>31</v>
      </c>
      <c r="J375" s="38">
        <f t="shared" si="103"/>
        <v>0</v>
      </c>
      <c r="K375" s="905"/>
      <c r="L375" s="315">
        <f t="shared" si="107"/>
        <v>0</v>
      </c>
      <c r="M375" s="122">
        <f t="shared" ref="M375:M376" si="108">I375*K375</f>
        <v>0</v>
      </c>
      <c r="N375" s="386">
        <v>33.32</v>
      </c>
      <c r="O375" s="42">
        <f t="shared" si="106"/>
        <v>-1</v>
      </c>
      <c r="P375" s="43">
        <v>33.92</v>
      </c>
    </row>
    <row r="376" spans="1:16" ht="16.5" customHeight="1">
      <c r="A376" s="226">
        <v>29</v>
      </c>
      <c r="B376" s="61" t="s">
        <v>937</v>
      </c>
      <c r="C376" s="184" t="s">
        <v>938</v>
      </c>
      <c r="D376" s="34" t="s">
        <v>64</v>
      </c>
      <c r="E376" s="745"/>
      <c r="F376" s="816"/>
      <c r="G376" s="851" t="s">
        <v>939</v>
      </c>
      <c r="H376" s="113" t="s">
        <v>39</v>
      </c>
      <c r="I376" s="64">
        <v>80</v>
      </c>
      <c r="J376" s="38">
        <f t="shared" si="103"/>
        <v>0</v>
      </c>
      <c r="K376" s="831"/>
      <c r="L376" s="301">
        <f t="shared" si="107"/>
        <v>0</v>
      </c>
      <c r="M376" s="58">
        <f t="shared" si="108"/>
        <v>0</v>
      </c>
      <c r="N376" s="299">
        <v>31.3</v>
      </c>
      <c r="O376" s="42">
        <f t="shared" si="106"/>
        <v>-1</v>
      </c>
      <c r="P376" s="43">
        <v>32.299999999999997</v>
      </c>
    </row>
    <row r="377" spans="1:16" ht="16.5" customHeight="1">
      <c r="A377" s="31"/>
      <c r="B377" s="61"/>
      <c r="C377" s="402" t="s">
        <v>940</v>
      </c>
      <c r="D377" s="112"/>
      <c r="E377" s="745"/>
      <c r="F377" s="816"/>
      <c r="G377" s="851"/>
      <c r="H377" s="113"/>
      <c r="I377" s="403"/>
      <c r="J377" s="38">
        <f t="shared" si="103"/>
        <v>0</v>
      </c>
      <c r="K377" s="831"/>
      <c r="L377" s="404"/>
      <c r="M377" s="219"/>
      <c r="N377" s="299"/>
      <c r="O377" s="76"/>
      <c r="P377" s="43"/>
    </row>
    <row r="378" spans="1:16" ht="16.5" customHeight="1">
      <c r="A378" s="31"/>
      <c r="B378" s="115"/>
      <c r="C378" s="44" t="s">
        <v>941</v>
      </c>
      <c r="D378" s="110"/>
      <c r="E378" s="744"/>
      <c r="F378" s="817"/>
      <c r="G378" s="852"/>
      <c r="H378" s="46"/>
      <c r="I378" s="47"/>
      <c r="J378" s="38">
        <f t="shared" si="103"/>
        <v>0</v>
      </c>
      <c r="K378" s="797"/>
      <c r="L378" s="309"/>
      <c r="M378" s="223"/>
      <c r="N378" s="50"/>
      <c r="O378" s="76"/>
      <c r="P378" s="52"/>
    </row>
    <row r="379" spans="1:16" ht="16.5" customHeight="1">
      <c r="A379" s="226">
        <v>30</v>
      </c>
      <c r="B379" s="61" t="s">
        <v>942</v>
      </c>
      <c r="C379" s="172" t="s">
        <v>943</v>
      </c>
      <c r="D379" s="325" t="s">
        <v>944</v>
      </c>
      <c r="E379" s="756"/>
      <c r="F379" s="816"/>
      <c r="G379" s="851" t="s">
        <v>945</v>
      </c>
      <c r="H379" s="113" t="s">
        <v>39</v>
      </c>
      <c r="I379" s="64">
        <v>21</v>
      </c>
      <c r="J379" s="38">
        <f t="shared" si="103"/>
        <v>0</v>
      </c>
      <c r="K379" s="831"/>
      <c r="L379" s="301">
        <f t="shared" ref="L379:L384" si="109">K379/200</f>
        <v>0</v>
      </c>
      <c r="M379" s="187">
        <f t="shared" ref="M379:M383" si="110">K379*I379</f>
        <v>0</v>
      </c>
      <c r="N379" s="299">
        <v>58.25</v>
      </c>
      <c r="O379" s="42">
        <f t="shared" ref="O379:O382" si="111">(K379-N379)/N379</f>
        <v>-1</v>
      </c>
      <c r="P379" s="43">
        <v>58.25</v>
      </c>
    </row>
    <row r="380" spans="1:16" ht="16.5" customHeight="1">
      <c r="A380" s="226">
        <v>31</v>
      </c>
      <c r="B380" s="61"/>
      <c r="C380" s="179"/>
      <c r="D380" s="325" t="s">
        <v>944</v>
      </c>
      <c r="E380" s="756"/>
      <c r="F380" s="816"/>
      <c r="G380" s="851" t="s">
        <v>946</v>
      </c>
      <c r="H380" s="113"/>
      <c r="I380" s="64">
        <v>24</v>
      </c>
      <c r="J380" s="38">
        <f t="shared" si="103"/>
        <v>0</v>
      </c>
      <c r="K380" s="831"/>
      <c r="L380" s="301">
        <f t="shared" si="109"/>
        <v>0</v>
      </c>
      <c r="M380" s="187">
        <f t="shared" si="110"/>
        <v>0</v>
      </c>
      <c r="N380" s="299">
        <v>58.25</v>
      </c>
      <c r="O380" s="42">
        <f t="shared" si="111"/>
        <v>-1</v>
      </c>
      <c r="P380" s="43">
        <v>58.25</v>
      </c>
    </row>
    <row r="381" spans="1:16" ht="16.5" customHeight="1">
      <c r="A381" s="226">
        <v>32</v>
      </c>
      <c r="B381" s="61"/>
      <c r="C381" s="179"/>
      <c r="D381" s="325" t="s">
        <v>944</v>
      </c>
      <c r="E381" s="756"/>
      <c r="F381" s="816"/>
      <c r="G381" s="851" t="s">
        <v>947</v>
      </c>
      <c r="H381" s="113"/>
      <c r="I381" s="64">
        <v>22</v>
      </c>
      <c r="J381" s="38">
        <f t="shared" si="103"/>
        <v>0</v>
      </c>
      <c r="K381" s="831"/>
      <c r="L381" s="301">
        <f t="shared" si="109"/>
        <v>0</v>
      </c>
      <c r="M381" s="187">
        <f t="shared" si="110"/>
        <v>0</v>
      </c>
      <c r="N381" s="299">
        <v>58.25</v>
      </c>
      <c r="O381" s="42">
        <f t="shared" si="111"/>
        <v>-1</v>
      </c>
      <c r="P381" s="43">
        <v>58.25</v>
      </c>
    </row>
    <row r="382" spans="1:16" ht="16.5" customHeight="1">
      <c r="A382" s="226">
        <v>33</v>
      </c>
      <c r="B382" s="61"/>
      <c r="C382" s="313"/>
      <c r="D382" s="393" t="s">
        <v>948</v>
      </c>
      <c r="E382" s="877"/>
      <c r="F382" s="816"/>
      <c r="G382" s="851" t="s">
        <v>949</v>
      </c>
      <c r="H382" s="113"/>
      <c r="I382" s="405">
        <v>5</v>
      </c>
      <c r="J382" s="38">
        <f t="shared" si="103"/>
        <v>0</v>
      </c>
      <c r="K382" s="831"/>
      <c r="L382" s="301">
        <f t="shared" si="109"/>
        <v>0</v>
      </c>
      <c r="M382" s="187">
        <f t="shared" si="110"/>
        <v>0</v>
      </c>
      <c r="N382" s="299">
        <v>60.8</v>
      </c>
      <c r="O382" s="42">
        <f t="shared" si="111"/>
        <v>-1</v>
      </c>
      <c r="P382" s="43">
        <v>58.25</v>
      </c>
    </row>
    <row r="383" spans="1:16" ht="16.5" customHeight="1">
      <c r="A383" s="226">
        <v>34</v>
      </c>
      <c r="B383" s="61"/>
      <c r="C383" s="313"/>
      <c r="D383" s="325" t="s">
        <v>948</v>
      </c>
      <c r="E383" s="756"/>
      <c r="F383" s="816"/>
      <c r="G383" s="851" t="s">
        <v>950</v>
      </c>
      <c r="H383" s="113"/>
      <c r="I383" s="405">
        <v>5</v>
      </c>
      <c r="J383" s="38">
        <f t="shared" si="103"/>
        <v>0</v>
      </c>
      <c r="K383" s="831"/>
      <c r="L383" s="301">
        <f t="shared" si="109"/>
        <v>0</v>
      </c>
      <c r="M383" s="187">
        <f t="shared" si="110"/>
        <v>0</v>
      </c>
      <c r="N383" s="299">
        <v>60.8</v>
      </c>
      <c r="O383" s="76"/>
      <c r="P383" s="52"/>
    </row>
    <row r="384" spans="1:16" ht="16.5" customHeight="1">
      <c r="A384" s="305">
        <v>35</v>
      </c>
      <c r="B384" s="61"/>
      <c r="C384" s="313"/>
      <c r="D384" s="406" t="s">
        <v>948</v>
      </c>
      <c r="E384" s="749"/>
      <c r="F384" s="816"/>
      <c r="G384" s="851" t="s">
        <v>951</v>
      </c>
      <c r="H384" s="113"/>
      <c r="I384" s="405">
        <v>5</v>
      </c>
      <c r="J384" s="38"/>
      <c r="K384" s="833"/>
      <c r="L384" s="301">
        <f t="shared" si="109"/>
        <v>0</v>
      </c>
      <c r="M384" s="219"/>
      <c r="N384" s="407"/>
      <c r="O384" s="51"/>
      <c r="P384" s="52"/>
    </row>
    <row r="385" spans="1:16" ht="16.5" customHeight="1">
      <c r="A385" s="310"/>
      <c r="B385" s="61"/>
      <c r="C385" s="313"/>
      <c r="D385" s="112"/>
      <c r="E385" s="749"/>
      <c r="F385" s="816"/>
      <c r="G385" s="851" t="s">
        <v>42</v>
      </c>
      <c r="H385" s="113"/>
      <c r="I385" s="64"/>
      <c r="J385" s="88">
        <f t="shared" ref="J385:J425" si="112">(K385*8%)+K385</f>
        <v>0</v>
      </c>
      <c r="K385" s="833"/>
      <c r="L385" s="304"/>
      <c r="M385" s="219"/>
      <c r="N385" s="408"/>
      <c r="O385" s="51"/>
      <c r="P385" s="52"/>
    </row>
    <row r="386" spans="1:16" ht="16.5" customHeight="1">
      <c r="A386" s="305">
        <v>36</v>
      </c>
      <c r="B386" s="53" t="s">
        <v>952</v>
      </c>
      <c r="C386" s="85" t="s">
        <v>953</v>
      </c>
      <c r="D386" s="356" t="s">
        <v>954</v>
      </c>
      <c r="E386" s="753"/>
      <c r="F386" s="815"/>
      <c r="G386" s="839" t="s">
        <v>885</v>
      </c>
      <c r="H386" s="36"/>
      <c r="I386" s="37"/>
      <c r="J386" s="88">
        <f t="shared" si="112"/>
        <v>0</v>
      </c>
      <c r="K386" s="834"/>
      <c r="L386" s="136"/>
      <c r="M386" s="409"/>
      <c r="N386" s="287"/>
      <c r="O386" s="76"/>
      <c r="P386" s="43"/>
    </row>
    <row r="387" spans="1:16" ht="16.5" customHeight="1">
      <c r="A387" s="96"/>
      <c r="B387" s="115"/>
      <c r="C387" s="109" t="s">
        <v>955</v>
      </c>
      <c r="D387" s="359"/>
      <c r="E387" s="754"/>
      <c r="F387" s="817"/>
      <c r="G387" s="852" t="s">
        <v>956</v>
      </c>
      <c r="H387" s="46" t="s">
        <v>39</v>
      </c>
      <c r="I387" s="47">
        <v>26</v>
      </c>
      <c r="J387" s="181">
        <f t="shared" si="112"/>
        <v>0</v>
      </c>
      <c r="K387" s="829"/>
      <c r="L387" s="177">
        <f>K387/144</f>
        <v>0</v>
      </c>
      <c r="M387" s="189">
        <f t="shared" ref="M387:M388" si="113">I387*K387</f>
        <v>0</v>
      </c>
      <c r="N387" s="398">
        <v>44.5</v>
      </c>
      <c r="O387" s="42">
        <f t="shared" ref="O387:O388" si="114">(K387-N387)/N387</f>
        <v>-1</v>
      </c>
      <c r="P387" s="52">
        <v>50.64</v>
      </c>
    </row>
    <row r="388" spans="1:16" ht="16.5" customHeight="1">
      <c r="A388" s="226">
        <v>37</v>
      </c>
      <c r="B388" s="354" t="s">
        <v>957</v>
      </c>
      <c r="C388" s="172" t="s">
        <v>958</v>
      </c>
      <c r="D388" s="357" t="s">
        <v>112</v>
      </c>
      <c r="E388" s="755"/>
      <c r="F388" s="816"/>
      <c r="G388" s="851" t="s">
        <v>885</v>
      </c>
      <c r="H388" s="113" t="s">
        <v>39</v>
      </c>
      <c r="I388" s="64">
        <v>40</v>
      </c>
      <c r="J388" s="290">
        <f t="shared" si="112"/>
        <v>0</v>
      </c>
      <c r="K388" s="828"/>
      <c r="L388" s="143">
        <f>K388/30</f>
        <v>0</v>
      </c>
      <c r="M388" s="58">
        <f t="shared" si="113"/>
        <v>0</v>
      </c>
      <c r="N388" s="261">
        <v>67.099999999999994</v>
      </c>
      <c r="O388" s="42">
        <f t="shared" si="114"/>
        <v>-1</v>
      </c>
      <c r="P388" s="43">
        <v>59.59</v>
      </c>
    </row>
    <row r="389" spans="1:16" ht="16.5" customHeight="1">
      <c r="A389" s="31"/>
      <c r="B389" s="358"/>
      <c r="C389" s="179"/>
      <c r="D389" s="357"/>
      <c r="E389" s="755"/>
      <c r="F389" s="816"/>
      <c r="G389" s="851" t="s">
        <v>959</v>
      </c>
      <c r="H389" s="113"/>
      <c r="I389" s="64"/>
      <c r="J389" s="290">
        <f t="shared" si="112"/>
        <v>0</v>
      </c>
      <c r="K389" s="828"/>
      <c r="L389" s="143"/>
      <c r="M389" s="219"/>
      <c r="N389" s="398"/>
      <c r="O389" s="76"/>
      <c r="P389" s="52"/>
    </row>
    <row r="390" spans="1:16" ht="16.5" customHeight="1">
      <c r="A390" s="226">
        <v>38</v>
      </c>
      <c r="B390" s="198" t="s">
        <v>960</v>
      </c>
      <c r="C390" s="108" t="s">
        <v>961</v>
      </c>
      <c r="D390" s="356" t="s">
        <v>112</v>
      </c>
      <c r="E390" s="753"/>
      <c r="F390" s="815"/>
      <c r="G390" s="839" t="s">
        <v>885</v>
      </c>
      <c r="H390" s="36" t="s">
        <v>39</v>
      </c>
      <c r="I390" s="37">
        <v>15</v>
      </c>
      <c r="J390" s="88">
        <f t="shared" si="112"/>
        <v>0</v>
      </c>
      <c r="K390" s="834"/>
      <c r="L390" s="136">
        <f>K390/30</f>
        <v>0</v>
      </c>
      <c r="M390" s="40">
        <f>I390*K390</f>
        <v>0</v>
      </c>
      <c r="N390" s="261">
        <v>46.65</v>
      </c>
      <c r="O390" s="42">
        <f>(K390-N390)/N390</f>
        <v>-1</v>
      </c>
      <c r="P390" s="43">
        <v>46.65</v>
      </c>
    </row>
    <row r="391" spans="1:16" ht="16.5" customHeight="1">
      <c r="A391" s="31"/>
      <c r="B391" s="358"/>
      <c r="C391" s="222"/>
      <c r="D391" s="410"/>
      <c r="E391" s="754"/>
      <c r="F391" s="817"/>
      <c r="G391" s="852" t="s">
        <v>962</v>
      </c>
      <c r="H391" s="46"/>
      <c r="I391" s="47"/>
      <c r="J391" s="181">
        <f t="shared" si="112"/>
        <v>0</v>
      </c>
      <c r="K391" s="829"/>
      <c r="L391" s="177"/>
      <c r="M391" s="223"/>
      <c r="N391" s="398"/>
      <c r="O391" s="76"/>
      <c r="P391" s="52"/>
    </row>
    <row r="392" spans="1:16" ht="16.5" customHeight="1">
      <c r="A392" s="226"/>
      <c r="B392" s="53" t="s">
        <v>963</v>
      </c>
      <c r="C392" s="172"/>
      <c r="D392" s="112"/>
      <c r="E392" s="775"/>
      <c r="F392" s="816"/>
      <c r="G392" s="851" t="s">
        <v>885</v>
      </c>
      <c r="H392" s="113"/>
      <c r="I392" s="64"/>
      <c r="J392" s="183">
        <f t="shared" si="112"/>
        <v>0</v>
      </c>
      <c r="K392" s="830"/>
      <c r="L392" s="308"/>
      <c r="M392" s="58"/>
      <c r="N392" s="41"/>
      <c r="O392" s="76"/>
      <c r="P392" s="43"/>
    </row>
    <row r="393" spans="1:16" ht="16.5" customHeight="1">
      <c r="A393" s="73">
        <v>39</v>
      </c>
      <c r="B393" s="61"/>
      <c r="C393" s="123" t="s">
        <v>964</v>
      </c>
      <c r="D393" s="325" t="s">
        <v>112</v>
      </c>
      <c r="E393" s="756"/>
      <c r="F393" s="816"/>
      <c r="G393" s="851" t="s">
        <v>965</v>
      </c>
      <c r="H393" s="113" t="s">
        <v>39</v>
      </c>
      <c r="I393" s="64">
        <v>5</v>
      </c>
      <c r="J393" s="38">
        <f t="shared" si="112"/>
        <v>0</v>
      </c>
      <c r="K393" s="831"/>
      <c r="L393" s="301">
        <f t="shared" ref="L393:L394" si="115">K393/30</f>
        <v>0</v>
      </c>
      <c r="M393" s="58">
        <f t="shared" ref="M393:M395" si="116">I393*K393</f>
        <v>0</v>
      </c>
      <c r="N393" s="299">
        <v>38.4</v>
      </c>
      <c r="O393" s="42">
        <f t="shared" ref="O393:O395" si="117">(K393-N393)/N393</f>
        <v>-1</v>
      </c>
      <c r="P393" s="43">
        <v>37.5</v>
      </c>
    </row>
    <row r="394" spans="1:16" ht="16.5" customHeight="1">
      <c r="A394" s="226">
        <v>40</v>
      </c>
      <c r="B394" s="115"/>
      <c r="C394" s="109" t="s">
        <v>966</v>
      </c>
      <c r="D394" s="329" t="s">
        <v>967</v>
      </c>
      <c r="E394" s="752"/>
      <c r="F394" s="817"/>
      <c r="G394" s="852" t="s">
        <v>968</v>
      </c>
      <c r="H394" s="46" t="s">
        <v>39</v>
      </c>
      <c r="I394" s="47">
        <v>10</v>
      </c>
      <c r="J394" s="38">
        <f t="shared" si="112"/>
        <v>0</v>
      </c>
      <c r="K394" s="797"/>
      <c r="L394" s="309">
        <f t="shared" si="115"/>
        <v>0</v>
      </c>
      <c r="M394" s="189">
        <f t="shared" si="116"/>
        <v>0</v>
      </c>
      <c r="N394" s="50">
        <v>33.840000000000003</v>
      </c>
      <c r="O394" s="42">
        <f t="shared" si="117"/>
        <v>-1</v>
      </c>
      <c r="P394" s="52">
        <v>31.69</v>
      </c>
    </row>
    <row r="395" spans="1:16" ht="16.5" customHeight="1">
      <c r="A395" s="226"/>
      <c r="B395" s="53" t="s">
        <v>969</v>
      </c>
      <c r="C395" s="85" t="s">
        <v>970</v>
      </c>
      <c r="D395" s="225"/>
      <c r="E395" s="748"/>
      <c r="F395" s="815"/>
      <c r="G395" s="839" t="s">
        <v>885</v>
      </c>
      <c r="H395" s="36" t="s">
        <v>39</v>
      </c>
      <c r="I395" s="37">
        <v>50</v>
      </c>
      <c r="J395" s="38">
        <f t="shared" si="112"/>
        <v>0</v>
      </c>
      <c r="K395" s="796"/>
      <c r="L395" s="300">
        <f>K395/10</f>
        <v>0</v>
      </c>
      <c r="M395" s="40">
        <f t="shared" si="116"/>
        <v>0</v>
      </c>
      <c r="N395" s="41">
        <v>21.56</v>
      </c>
      <c r="O395" s="42">
        <f t="shared" si="117"/>
        <v>-1</v>
      </c>
      <c r="P395" s="43">
        <v>21.99</v>
      </c>
    </row>
    <row r="396" spans="1:16" ht="16.5" customHeight="1">
      <c r="A396" s="73">
        <v>41</v>
      </c>
      <c r="B396" s="115"/>
      <c r="C396" s="158" t="s">
        <v>971</v>
      </c>
      <c r="D396" s="329" t="s">
        <v>574</v>
      </c>
      <c r="E396" s="752"/>
      <c r="F396" s="817"/>
      <c r="G396" s="852" t="s">
        <v>972</v>
      </c>
      <c r="H396" s="46"/>
      <c r="I396" s="47"/>
      <c r="J396" s="38">
        <f t="shared" si="112"/>
        <v>0</v>
      </c>
      <c r="K396" s="797"/>
      <c r="L396" s="309" t="s">
        <v>33</v>
      </c>
      <c r="M396" s="89"/>
      <c r="N396" s="50"/>
      <c r="O396" s="76"/>
      <c r="P396" s="52"/>
    </row>
    <row r="397" spans="1:16" ht="16.5" customHeight="1">
      <c r="A397" s="226">
        <v>42</v>
      </c>
      <c r="B397" s="61" t="s">
        <v>973</v>
      </c>
      <c r="C397" s="123" t="s">
        <v>974</v>
      </c>
      <c r="D397" s="325" t="s">
        <v>574</v>
      </c>
      <c r="E397" s="756"/>
      <c r="F397" s="816"/>
      <c r="G397" s="851" t="s">
        <v>975</v>
      </c>
      <c r="H397" s="113" t="s">
        <v>39</v>
      </c>
      <c r="I397" s="64">
        <v>10</v>
      </c>
      <c r="J397" s="38">
        <f t="shared" si="112"/>
        <v>0</v>
      </c>
      <c r="K397" s="831"/>
      <c r="L397" s="301">
        <f>K397/50</f>
        <v>0</v>
      </c>
      <c r="M397" s="58">
        <f>L397*K397</f>
        <v>0</v>
      </c>
      <c r="N397" s="299">
        <v>25.93</v>
      </c>
      <c r="O397" s="42">
        <f>(K397-N397)/N397</f>
        <v>-1</v>
      </c>
      <c r="P397" s="43">
        <v>25.03</v>
      </c>
    </row>
    <row r="398" spans="1:16" ht="16.5" customHeight="1">
      <c r="A398" s="31"/>
      <c r="B398" s="61"/>
      <c r="C398" s="123" t="s">
        <v>976</v>
      </c>
      <c r="D398" s="112"/>
      <c r="E398" s="756"/>
      <c r="F398" s="816"/>
      <c r="G398" s="851" t="s">
        <v>42</v>
      </c>
      <c r="H398" s="113"/>
      <c r="I398" s="64"/>
      <c r="J398" s="38">
        <f t="shared" si="112"/>
        <v>0</v>
      </c>
      <c r="K398" s="831"/>
      <c r="L398" s="301" t="s">
        <v>977</v>
      </c>
      <c r="M398" s="58"/>
      <c r="N398" s="299"/>
      <c r="O398" s="76"/>
      <c r="P398" s="43"/>
    </row>
    <row r="399" spans="1:16" ht="16.5" customHeight="1">
      <c r="A399" s="226"/>
      <c r="B399" s="53" t="s">
        <v>978</v>
      </c>
      <c r="C399" s="108" t="s">
        <v>979</v>
      </c>
      <c r="D399" s="225"/>
      <c r="E399" s="748"/>
      <c r="F399" s="815"/>
      <c r="G399" s="839" t="s">
        <v>885</v>
      </c>
      <c r="H399" s="36" t="s">
        <v>39</v>
      </c>
      <c r="I399" s="37">
        <v>25</v>
      </c>
      <c r="J399" s="38">
        <f t="shared" si="112"/>
        <v>0</v>
      </c>
      <c r="K399" s="796"/>
      <c r="L399" s="300">
        <f>K399/10</f>
        <v>0</v>
      </c>
      <c r="M399" s="40">
        <f>I399*K399</f>
        <v>0</v>
      </c>
      <c r="N399" s="41">
        <v>21.53</v>
      </c>
      <c r="O399" s="42">
        <f>(K399-N399)/N399</f>
        <v>-1</v>
      </c>
      <c r="P399" s="43">
        <v>24.53</v>
      </c>
    </row>
    <row r="400" spans="1:16" ht="16.5" customHeight="1">
      <c r="A400" s="73">
        <v>43</v>
      </c>
      <c r="B400" s="61"/>
      <c r="C400" s="123" t="s">
        <v>980</v>
      </c>
      <c r="D400" s="325" t="s">
        <v>967</v>
      </c>
      <c r="E400" s="756"/>
      <c r="F400" s="816"/>
      <c r="G400" s="851" t="s">
        <v>981</v>
      </c>
      <c r="H400" s="113"/>
      <c r="I400" s="64"/>
      <c r="J400" s="38">
        <f t="shared" si="112"/>
        <v>0</v>
      </c>
      <c r="K400" s="831"/>
      <c r="L400" s="301"/>
      <c r="M400" s="58"/>
      <c r="N400" s="299"/>
      <c r="O400" s="51"/>
      <c r="P400" s="43"/>
    </row>
    <row r="401" spans="1:16" ht="16.5" customHeight="1">
      <c r="A401" s="31"/>
      <c r="B401" s="115"/>
      <c r="C401" s="411" t="s">
        <v>982</v>
      </c>
      <c r="D401" s="110"/>
      <c r="E401" s="752"/>
      <c r="F401" s="817"/>
      <c r="G401" s="852"/>
      <c r="H401" s="46"/>
      <c r="I401" s="47"/>
      <c r="J401" s="38">
        <f t="shared" si="112"/>
        <v>0</v>
      </c>
      <c r="K401" s="797"/>
      <c r="L401" s="309"/>
      <c r="M401" s="223"/>
      <c r="N401" s="50"/>
      <c r="O401" s="76"/>
      <c r="P401" s="52"/>
    </row>
    <row r="402" spans="1:16" ht="16.5" customHeight="1">
      <c r="A402" s="226">
        <v>44</v>
      </c>
      <c r="B402" s="53" t="s">
        <v>983</v>
      </c>
      <c r="C402" s="85" t="s">
        <v>984</v>
      </c>
      <c r="D402" s="362" t="s">
        <v>985</v>
      </c>
      <c r="E402" s="748"/>
      <c r="F402" s="815"/>
      <c r="G402" s="839" t="s">
        <v>986</v>
      </c>
      <c r="H402" s="36" t="s">
        <v>39</v>
      </c>
      <c r="I402" s="37">
        <v>21</v>
      </c>
      <c r="J402" s="38">
        <f t="shared" si="112"/>
        <v>0</v>
      </c>
      <c r="K402" s="796"/>
      <c r="L402" s="300">
        <f>K402/96</f>
        <v>0</v>
      </c>
      <c r="M402" s="40">
        <f t="shared" ref="M402:M403" si="118">I402*K402</f>
        <v>0</v>
      </c>
      <c r="N402" s="41">
        <v>30.02</v>
      </c>
      <c r="O402" s="42">
        <f t="shared" ref="O402:O403" si="119">(K402-N402)/N402</f>
        <v>-1</v>
      </c>
      <c r="P402" s="43">
        <v>30.39</v>
      </c>
    </row>
    <row r="403" spans="1:16" ht="16.5" customHeight="1">
      <c r="A403" s="226">
        <v>45</v>
      </c>
      <c r="B403" s="61"/>
      <c r="C403" s="172" t="s">
        <v>987</v>
      </c>
      <c r="D403" s="325" t="s">
        <v>985</v>
      </c>
      <c r="E403" s="756"/>
      <c r="F403" s="816"/>
      <c r="G403" s="851" t="s">
        <v>988</v>
      </c>
      <c r="H403" s="113"/>
      <c r="I403" s="64">
        <v>5</v>
      </c>
      <c r="J403" s="38">
        <f t="shared" si="112"/>
        <v>0</v>
      </c>
      <c r="K403" s="831"/>
      <c r="L403" s="301"/>
      <c r="M403" s="58">
        <f t="shared" si="118"/>
        <v>0</v>
      </c>
      <c r="N403" s="299">
        <v>30.02</v>
      </c>
      <c r="O403" s="42">
        <f t="shared" si="119"/>
        <v>-1</v>
      </c>
      <c r="P403" s="43">
        <v>30.4</v>
      </c>
    </row>
    <row r="404" spans="1:16" ht="16.5" customHeight="1">
      <c r="A404" s="226"/>
      <c r="B404" s="115"/>
      <c r="C404" s="109" t="s">
        <v>989</v>
      </c>
      <c r="D404" s="110"/>
      <c r="E404" s="752"/>
      <c r="F404" s="817"/>
      <c r="G404" s="852" t="s">
        <v>42</v>
      </c>
      <c r="H404" s="46"/>
      <c r="I404" s="47"/>
      <c r="J404" s="38">
        <f t="shared" si="112"/>
        <v>0</v>
      </c>
      <c r="K404" s="797"/>
      <c r="L404" s="309"/>
      <c r="M404" s="89"/>
      <c r="N404" s="50"/>
      <c r="O404" s="76"/>
      <c r="P404" s="52"/>
    </row>
    <row r="405" spans="1:16" ht="15.75">
      <c r="A405" s="226">
        <v>46</v>
      </c>
      <c r="B405" s="53" t="s">
        <v>990</v>
      </c>
      <c r="C405" s="108" t="s">
        <v>991</v>
      </c>
      <c r="D405" s="362"/>
      <c r="E405" s="748"/>
      <c r="F405" s="815"/>
      <c r="G405" s="839" t="s">
        <v>885</v>
      </c>
      <c r="H405" s="36" t="s">
        <v>39</v>
      </c>
      <c r="I405" s="37">
        <v>10</v>
      </c>
      <c r="J405" s="38">
        <f t="shared" si="112"/>
        <v>0</v>
      </c>
      <c r="K405" s="796"/>
      <c r="L405" s="300">
        <f>K405/10</f>
        <v>0</v>
      </c>
      <c r="M405" s="40">
        <f>I405*K405</f>
        <v>0</v>
      </c>
      <c r="N405" s="41">
        <v>21.62</v>
      </c>
      <c r="O405" s="42">
        <f>(K405-N405)/N405</f>
        <v>-1</v>
      </c>
      <c r="P405" s="43">
        <v>19.62</v>
      </c>
    </row>
    <row r="406" spans="1:16" ht="16.5" customHeight="1">
      <c r="A406" s="31"/>
      <c r="B406" s="61"/>
      <c r="C406" s="179"/>
      <c r="D406" s="326" t="s">
        <v>574</v>
      </c>
      <c r="E406" s="749"/>
      <c r="F406" s="816"/>
      <c r="G406" s="851" t="s">
        <v>992</v>
      </c>
      <c r="H406" s="113"/>
      <c r="I406" s="64"/>
      <c r="J406" s="88">
        <f t="shared" si="112"/>
        <v>0</v>
      </c>
      <c r="K406" s="833"/>
      <c r="L406" s="304" t="s">
        <v>33</v>
      </c>
      <c r="M406" s="219"/>
      <c r="N406" s="50"/>
      <c r="O406" s="76"/>
      <c r="P406" s="52"/>
    </row>
    <row r="407" spans="1:16" ht="16.5" customHeight="1">
      <c r="A407" s="305">
        <v>47</v>
      </c>
      <c r="B407" s="53" t="s">
        <v>993</v>
      </c>
      <c r="C407" s="108" t="s">
        <v>994</v>
      </c>
      <c r="D407" s="356"/>
      <c r="E407" s="753"/>
      <c r="F407" s="815"/>
      <c r="G407" s="839" t="s">
        <v>995</v>
      </c>
      <c r="H407" s="36" t="s">
        <v>39</v>
      </c>
      <c r="I407" s="37">
        <v>25</v>
      </c>
      <c r="J407" s="88">
        <f t="shared" si="112"/>
        <v>0</v>
      </c>
      <c r="K407" s="834"/>
      <c r="L407" s="136">
        <f>K407/30</f>
        <v>0</v>
      </c>
      <c r="M407" s="40">
        <f>I407*K407</f>
        <v>0</v>
      </c>
      <c r="N407" s="261">
        <v>42.4</v>
      </c>
      <c r="O407" s="42">
        <f>(K407-N407)/N407</f>
        <v>-1</v>
      </c>
      <c r="P407" s="43">
        <v>41.2</v>
      </c>
    </row>
    <row r="408" spans="1:16" ht="16.5" customHeight="1">
      <c r="A408" s="96"/>
      <c r="B408" s="412"/>
      <c r="C408" s="413"/>
      <c r="D408" s="359" t="s">
        <v>112</v>
      </c>
      <c r="E408" s="754"/>
      <c r="F408" s="817"/>
      <c r="G408" s="882" t="s">
        <v>996</v>
      </c>
      <c r="H408" s="414"/>
      <c r="I408" s="415"/>
      <c r="J408" s="181">
        <f t="shared" si="112"/>
        <v>0</v>
      </c>
      <c r="K408" s="829"/>
      <c r="L408" s="177" t="s">
        <v>33</v>
      </c>
      <c r="M408" s="223"/>
      <c r="N408" s="398"/>
      <c r="O408" s="76"/>
      <c r="P408" s="52"/>
    </row>
    <row r="409" spans="1:16" ht="24">
      <c r="A409" s="305"/>
      <c r="B409" s="416" t="s">
        <v>997</v>
      </c>
      <c r="C409" s="417" t="s">
        <v>998</v>
      </c>
      <c r="D409" s="112"/>
      <c r="E409" s="755"/>
      <c r="F409" s="816"/>
      <c r="G409" s="883" t="s">
        <v>999</v>
      </c>
      <c r="H409" s="418" t="s">
        <v>39</v>
      </c>
      <c r="I409" s="419">
        <f>SUM(I410:I415)</f>
        <v>1500</v>
      </c>
      <c r="J409" s="420">
        <f t="shared" si="112"/>
        <v>0</v>
      </c>
      <c r="K409" s="828"/>
      <c r="L409" s="143"/>
      <c r="M409" s="58"/>
      <c r="N409" s="41"/>
      <c r="O409" s="76"/>
      <c r="P409" s="43"/>
    </row>
    <row r="410" spans="1:16" ht="15.75" customHeight="1">
      <c r="A410" s="305">
        <v>48</v>
      </c>
      <c r="B410" s="196"/>
      <c r="C410" s="421"/>
      <c r="D410" s="357" t="s">
        <v>985</v>
      </c>
      <c r="E410" s="884"/>
      <c r="F410" s="827"/>
      <c r="G410" s="883" t="s">
        <v>1000</v>
      </c>
      <c r="H410" s="418" t="s">
        <v>39</v>
      </c>
      <c r="I410" s="419">
        <v>250</v>
      </c>
      <c r="J410" s="420">
        <f t="shared" si="112"/>
        <v>0</v>
      </c>
      <c r="K410" s="828"/>
      <c r="L410" s="143">
        <f t="shared" ref="L410:L416" si="120">K410/96</f>
        <v>0</v>
      </c>
      <c r="M410" s="58">
        <f t="shared" ref="M410:M415" si="121">I410*K410</f>
        <v>0</v>
      </c>
      <c r="N410" s="287">
        <v>9.4600000000000009</v>
      </c>
      <c r="O410" s="42">
        <f t="shared" ref="O410:O413" si="122">(K410-N410)/N410</f>
        <v>-1</v>
      </c>
      <c r="P410" s="43">
        <v>9.75</v>
      </c>
    </row>
    <row r="411" spans="1:16" ht="16.5" customHeight="1">
      <c r="A411" s="305">
        <v>49</v>
      </c>
      <c r="B411" s="196"/>
      <c r="C411" s="422" t="s">
        <v>1001</v>
      </c>
      <c r="D411" s="357" t="s">
        <v>985</v>
      </c>
      <c r="E411" s="755"/>
      <c r="F411" s="816"/>
      <c r="G411" s="885" t="s">
        <v>1002</v>
      </c>
      <c r="H411" s="418" t="s">
        <v>39</v>
      </c>
      <c r="I411" s="419">
        <v>250</v>
      </c>
      <c r="J411" s="420">
        <f t="shared" si="112"/>
        <v>0</v>
      </c>
      <c r="K411" s="828"/>
      <c r="L411" s="143">
        <f t="shared" si="120"/>
        <v>0</v>
      </c>
      <c r="M411" s="58">
        <f t="shared" si="121"/>
        <v>0</v>
      </c>
      <c r="N411" s="287">
        <v>12.37</v>
      </c>
      <c r="O411" s="42">
        <f t="shared" si="122"/>
        <v>-1</v>
      </c>
      <c r="P411" s="43">
        <v>12.11</v>
      </c>
    </row>
    <row r="412" spans="1:16" ht="16.5" customHeight="1">
      <c r="A412" s="305">
        <v>50</v>
      </c>
      <c r="B412" s="196"/>
      <c r="C412" s="422" t="s">
        <v>1003</v>
      </c>
      <c r="D412" s="357" t="s">
        <v>985</v>
      </c>
      <c r="E412" s="755"/>
      <c r="F412" s="816"/>
      <c r="G412" s="885" t="s">
        <v>1004</v>
      </c>
      <c r="H412" s="418" t="s">
        <v>39</v>
      </c>
      <c r="I412" s="419">
        <v>250</v>
      </c>
      <c r="J412" s="420">
        <f t="shared" si="112"/>
        <v>0</v>
      </c>
      <c r="K412" s="828"/>
      <c r="L412" s="143">
        <f t="shared" si="120"/>
        <v>0</v>
      </c>
      <c r="M412" s="58">
        <f t="shared" si="121"/>
        <v>0</v>
      </c>
      <c r="N412" s="287">
        <v>13.45</v>
      </c>
      <c r="O412" s="42">
        <f t="shared" si="122"/>
        <v>-1</v>
      </c>
      <c r="P412" s="43">
        <v>13.23</v>
      </c>
    </row>
    <row r="413" spans="1:16" ht="16.5" customHeight="1">
      <c r="A413" s="305">
        <v>51</v>
      </c>
      <c r="B413" s="196"/>
      <c r="C413" s="423"/>
      <c r="D413" s="357" t="s">
        <v>985</v>
      </c>
      <c r="E413" s="755"/>
      <c r="F413" s="816"/>
      <c r="G413" s="885" t="s">
        <v>1005</v>
      </c>
      <c r="H413" s="418" t="s">
        <v>39</v>
      </c>
      <c r="I413" s="419">
        <v>250</v>
      </c>
      <c r="J413" s="420">
        <f t="shared" si="112"/>
        <v>0</v>
      </c>
      <c r="K413" s="828"/>
      <c r="L413" s="143">
        <f t="shared" si="120"/>
        <v>0</v>
      </c>
      <c r="M413" s="58">
        <f t="shared" si="121"/>
        <v>0</v>
      </c>
      <c r="N413" s="287">
        <v>13.68</v>
      </c>
      <c r="O413" s="42">
        <f t="shared" si="122"/>
        <v>-1</v>
      </c>
      <c r="P413" s="43">
        <v>14.36</v>
      </c>
    </row>
    <row r="414" spans="1:16" ht="16.5" customHeight="1">
      <c r="A414" s="305">
        <v>52</v>
      </c>
      <c r="B414" s="196"/>
      <c r="C414" s="423"/>
      <c r="D414" s="357" t="s">
        <v>985</v>
      </c>
      <c r="E414" s="884"/>
      <c r="F414" s="816"/>
      <c r="G414" s="885" t="s">
        <v>1006</v>
      </c>
      <c r="H414" s="418" t="s">
        <v>39</v>
      </c>
      <c r="I414" s="419">
        <v>250</v>
      </c>
      <c r="J414" s="420">
        <f t="shared" si="112"/>
        <v>0</v>
      </c>
      <c r="K414" s="828"/>
      <c r="L414" s="143">
        <f t="shared" si="120"/>
        <v>0</v>
      </c>
      <c r="M414" s="58">
        <f t="shared" si="121"/>
        <v>0</v>
      </c>
      <c r="N414" s="424"/>
      <c r="O414" s="42"/>
      <c r="P414" s="425"/>
    </row>
    <row r="415" spans="1:16" ht="16.5" customHeight="1">
      <c r="A415" s="305">
        <v>53</v>
      </c>
      <c r="B415" s="412"/>
      <c r="C415" s="426"/>
      <c r="D415" s="359" t="s">
        <v>985</v>
      </c>
      <c r="E415" s="880"/>
      <c r="F415" s="817"/>
      <c r="G415" s="882" t="s">
        <v>1007</v>
      </c>
      <c r="H415" s="414" t="s">
        <v>39</v>
      </c>
      <c r="I415" s="415">
        <v>250</v>
      </c>
      <c r="J415" s="427">
        <f t="shared" si="112"/>
        <v>0</v>
      </c>
      <c r="K415" s="829"/>
      <c r="L415" s="177">
        <f t="shared" si="120"/>
        <v>0</v>
      </c>
      <c r="M415" s="89">
        <f t="shared" si="121"/>
        <v>0</v>
      </c>
      <c r="N415" s="398"/>
      <c r="O415" s="42"/>
      <c r="P415" s="425">
        <v>0</v>
      </c>
    </row>
    <row r="416" spans="1:16" ht="16.5" customHeight="1">
      <c r="A416" s="226"/>
      <c r="B416" s="53" t="s">
        <v>1008</v>
      </c>
      <c r="C416" s="85" t="s">
        <v>1009</v>
      </c>
      <c r="D416" s="112"/>
      <c r="E416" s="775"/>
      <c r="F416" s="816"/>
      <c r="G416" s="851" t="s">
        <v>1010</v>
      </c>
      <c r="H416" s="113" t="s">
        <v>39</v>
      </c>
      <c r="I416" s="64">
        <f>SUM(I417:I419)</f>
        <v>102</v>
      </c>
      <c r="J416" s="183">
        <f t="shared" si="112"/>
        <v>0</v>
      </c>
      <c r="K416" s="830"/>
      <c r="L416" s="308">
        <f t="shared" si="120"/>
        <v>0</v>
      </c>
      <c r="M416" s="58"/>
      <c r="N416" s="41">
        <v>12.57</v>
      </c>
      <c r="O416" s="76"/>
      <c r="P416" s="43">
        <v>12.57</v>
      </c>
    </row>
    <row r="417" spans="1:16" ht="16.5" customHeight="1">
      <c r="A417" s="226">
        <v>54</v>
      </c>
      <c r="B417" s="61"/>
      <c r="C417" s="307" t="s">
        <v>1011</v>
      </c>
      <c r="D417" s="428" t="s">
        <v>1012</v>
      </c>
      <c r="E417" s="756"/>
      <c r="F417" s="816"/>
      <c r="G417" s="851" t="s">
        <v>1013</v>
      </c>
      <c r="H417" s="113" t="s">
        <v>39</v>
      </c>
      <c r="I417" s="64">
        <v>25</v>
      </c>
      <c r="J417" s="38">
        <f t="shared" si="112"/>
        <v>0</v>
      </c>
      <c r="K417" s="831"/>
      <c r="L417" s="301">
        <f t="shared" ref="L417:L418" si="123">K417/70</f>
        <v>0</v>
      </c>
      <c r="M417" s="58">
        <f t="shared" ref="M417:M418" si="124">I417*K417</f>
        <v>0</v>
      </c>
      <c r="N417" s="299">
        <v>12.57</v>
      </c>
      <c r="O417" s="42">
        <f t="shared" ref="O417:O418" si="125">(K417-N417)/N417</f>
        <v>-1</v>
      </c>
      <c r="P417" s="43">
        <v>12.57</v>
      </c>
    </row>
    <row r="418" spans="1:16" ht="16.5" customHeight="1">
      <c r="A418" s="226">
        <v>55</v>
      </c>
      <c r="B418" s="61"/>
      <c r="C418" s="639" t="s">
        <v>1014</v>
      </c>
      <c r="D418" s="428" t="s">
        <v>1012</v>
      </c>
      <c r="E418" s="756"/>
      <c r="F418" s="816"/>
      <c r="G418" s="851" t="s">
        <v>1015</v>
      </c>
      <c r="H418" s="113" t="s">
        <v>39</v>
      </c>
      <c r="I418" s="64">
        <v>77</v>
      </c>
      <c r="J418" s="38">
        <f t="shared" si="112"/>
        <v>0</v>
      </c>
      <c r="K418" s="831"/>
      <c r="L418" s="301">
        <f t="shared" si="123"/>
        <v>0</v>
      </c>
      <c r="M418" s="58">
        <f t="shared" si="124"/>
        <v>0</v>
      </c>
      <c r="N418" s="299">
        <v>12.57</v>
      </c>
      <c r="O418" s="42">
        <f t="shared" si="125"/>
        <v>-1</v>
      </c>
      <c r="P418" s="43">
        <v>12.57</v>
      </c>
    </row>
    <row r="419" spans="1:16" ht="16.5" customHeight="1">
      <c r="A419" s="31"/>
      <c r="B419" s="61"/>
      <c r="C419" s="307" t="s">
        <v>1016</v>
      </c>
      <c r="D419" s="428"/>
      <c r="E419" s="756"/>
      <c r="F419" s="816"/>
      <c r="G419" s="851" t="s">
        <v>42</v>
      </c>
      <c r="H419" s="113"/>
      <c r="I419" s="64"/>
      <c r="J419" s="38">
        <f t="shared" si="112"/>
        <v>0</v>
      </c>
      <c r="K419" s="831"/>
      <c r="L419" s="301"/>
      <c r="M419" s="58"/>
      <c r="N419" s="299"/>
      <c r="O419" s="51"/>
      <c r="P419" s="43"/>
    </row>
    <row r="420" spans="1:16" ht="16.5" customHeight="1">
      <c r="A420" s="31"/>
      <c r="B420" s="115"/>
      <c r="C420" s="87" t="s">
        <v>1017</v>
      </c>
      <c r="D420" s="429"/>
      <c r="E420" s="752"/>
      <c r="F420" s="817"/>
      <c r="G420" s="851"/>
      <c r="H420" s="113"/>
      <c r="I420" s="64"/>
      <c r="J420" s="88">
        <f t="shared" si="112"/>
        <v>0</v>
      </c>
      <c r="K420" s="833"/>
      <c r="L420" s="304"/>
      <c r="M420" s="58"/>
      <c r="N420" s="50"/>
      <c r="O420" s="51"/>
      <c r="P420" s="52"/>
    </row>
    <row r="421" spans="1:16" ht="16.5" customHeight="1">
      <c r="A421" s="226"/>
      <c r="B421" s="430" t="s">
        <v>1018</v>
      </c>
      <c r="C421" s="85" t="s">
        <v>1019</v>
      </c>
      <c r="D421" s="225"/>
      <c r="E421" s="748"/>
      <c r="F421" s="886"/>
      <c r="G421" s="839" t="s">
        <v>1020</v>
      </c>
      <c r="H421" s="36" t="s">
        <v>39</v>
      </c>
      <c r="I421" s="37">
        <f>SUM(I422:I425)</f>
        <v>150</v>
      </c>
      <c r="J421" s="88">
        <f t="shared" si="112"/>
        <v>0</v>
      </c>
      <c r="K421" s="834"/>
      <c r="L421" s="136"/>
      <c r="M421" s="40"/>
      <c r="N421" s="261"/>
      <c r="O421" s="76"/>
      <c r="P421" s="43"/>
    </row>
    <row r="422" spans="1:16" ht="16.5" customHeight="1">
      <c r="A422" s="226">
        <v>56</v>
      </c>
      <c r="B422" s="196"/>
      <c r="C422" s="307" t="s">
        <v>1021</v>
      </c>
      <c r="D422" s="325" t="s">
        <v>1022</v>
      </c>
      <c r="E422" s="756"/>
      <c r="F422" s="887"/>
      <c r="G422" s="851" t="s">
        <v>1023</v>
      </c>
      <c r="H422" s="113"/>
      <c r="I422" s="64">
        <v>40</v>
      </c>
      <c r="J422" s="290">
        <f t="shared" si="112"/>
        <v>0</v>
      </c>
      <c r="K422" s="828"/>
      <c r="L422" s="143">
        <f t="shared" ref="L422:L425" si="126">K422/96</f>
        <v>0</v>
      </c>
      <c r="M422" s="58">
        <f t="shared" ref="M422:M425" si="127">I422*K422</f>
        <v>0</v>
      </c>
      <c r="N422" s="399">
        <v>28.43</v>
      </c>
      <c r="O422" s="42">
        <f t="shared" ref="O422:O425" si="128">(K422-N422)/N422</f>
        <v>-1</v>
      </c>
      <c r="P422" s="43">
        <v>28.95</v>
      </c>
    </row>
    <row r="423" spans="1:16" ht="16.5" customHeight="1">
      <c r="A423" s="226">
        <v>57</v>
      </c>
      <c r="B423" s="196"/>
      <c r="C423" s="307" t="s">
        <v>1024</v>
      </c>
      <c r="D423" s="325" t="s">
        <v>1022</v>
      </c>
      <c r="E423" s="756"/>
      <c r="F423" s="887"/>
      <c r="G423" s="851" t="s">
        <v>1025</v>
      </c>
      <c r="H423" s="113"/>
      <c r="I423" s="64">
        <v>50</v>
      </c>
      <c r="J423" s="290">
        <f t="shared" si="112"/>
        <v>0</v>
      </c>
      <c r="K423" s="828"/>
      <c r="L423" s="143">
        <f t="shared" si="126"/>
        <v>0</v>
      </c>
      <c r="M423" s="58">
        <f t="shared" si="127"/>
        <v>0</v>
      </c>
      <c r="N423" s="399">
        <v>28.43</v>
      </c>
      <c r="O423" s="42">
        <f t="shared" si="128"/>
        <v>-1</v>
      </c>
      <c r="P423" s="43">
        <v>28.95</v>
      </c>
    </row>
    <row r="424" spans="1:16" ht="16.5" customHeight="1">
      <c r="A424" s="226">
        <v>58</v>
      </c>
      <c r="B424" s="196"/>
      <c r="C424" s="307"/>
      <c r="D424" s="325" t="s">
        <v>1022</v>
      </c>
      <c r="E424" s="756"/>
      <c r="F424" s="887"/>
      <c r="G424" s="851" t="s">
        <v>1026</v>
      </c>
      <c r="H424" s="113"/>
      <c r="I424" s="64">
        <v>20</v>
      </c>
      <c r="J424" s="290">
        <f t="shared" si="112"/>
        <v>0</v>
      </c>
      <c r="K424" s="828"/>
      <c r="L424" s="143">
        <f t="shared" si="126"/>
        <v>0</v>
      </c>
      <c r="M424" s="58">
        <f t="shared" si="127"/>
        <v>0</v>
      </c>
      <c r="N424" s="399">
        <v>28.43</v>
      </c>
      <c r="O424" s="42">
        <f t="shared" si="128"/>
        <v>-1</v>
      </c>
      <c r="P424" s="43">
        <v>28.95</v>
      </c>
    </row>
    <row r="425" spans="1:16" ht="16.5" customHeight="1">
      <c r="A425" s="226">
        <v>59</v>
      </c>
      <c r="B425" s="196"/>
      <c r="C425" s="179"/>
      <c r="D425" s="326" t="s">
        <v>1022</v>
      </c>
      <c r="E425" s="749"/>
      <c r="F425" s="887"/>
      <c r="G425" s="851" t="s">
        <v>1027</v>
      </c>
      <c r="H425" s="113"/>
      <c r="I425" s="64">
        <v>40</v>
      </c>
      <c r="J425" s="290">
        <f t="shared" si="112"/>
        <v>0</v>
      </c>
      <c r="K425" s="828"/>
      <c r="L425" s="143">
        <f t="shared" si="126"/>
        <v>0</v>
      </c>
      <c r="M425" s="58">
        <f t="shared" si="127"/>
        <v>0</v>
      </c>
      <c r="N425" s="399">
        <v>28.43</v>
      </c>
      <c r="O425" s="42">
        <f t="shared" si="128"/>
        <v>-1</v>
      </c>
      <c r="P425" s="43">
        <v>28.95</v>
      </c>
    </row>
    <row r="426" spans="1:16" ht="16.5" customHeight="1">
      <c r="A426" s="96"/>
      <c r="B426" s="53" t="s">
        <v>1028</v>
      </c>
      <c r="C426" s="85" t="s">
        <v>1029</v>
      </c>
      <c r="D426" s="431"/>
      <c r="E426" s="878"/>
      <c r="F426" s="888"/>
      <c r="G426" s="839" t="s">
        <v>885</v>
      </c>
      <c r="H426" s="36"/>
      <c r="I426" s="37"/>
      <c r="J426" s="88"/>
      <c r="K426" s="834"/>
      <c r="L426" s="136"/>
      <c r="M426" s="40"/>
      <c r="N426" s="261"/>
      <c r="O426" s="76"/>
      <c r="P426" s="43"/>
    </row>
    <row r="427" spans="1:16" ht="16.5" customHeight="1">
      <c r="A427" s="305">
        <v>60</v>
      </c>
      <c r="B427" s="144"/>
      <c r="C427" s="144"/>
      <c r="D427" s="389" t="s">
        <v>64</v>
      </c>
      <c r="E427" s="880"/>
      <c r="F427" s="889"/>
      <c r="G427" s="852" t="s">
        <v>1030</v>
      </c>
      <c r="H427" s="46" t="s">
        <v>39</v>
      </c>
      <c r="I427" s="47">
        <v>5</v>
      </c>
      <c r="J427" s="181">
        <f t="shared" ref="J427:J449" si="129">(K427*8%)+K427</f>
        <v>0</v>
      </c>
      <c r="K427" s="829"/>
      <c r="L427" s="177">
        <f>K427/144</f>
        <v>0</v>
      </c>
      <c r="M427" s="89">
        <f t="shared" ref="M427:M428" si="130">I427*K427</f>
        <v>0</v>
      </c>
      <c r="N427" s="398">
        <v>18.079999999999998</v>
      </c>
      <c r="O427" s="42">
        <f>(K427-N427)/N427</f>
        <v>-1</v>
      </c>
      <c r="P427" s="52">
        <v>18.75</v>
      </c>
    </row>
    <row r="428" spans="1:16" ht="15.75">
      <c r="A428" s="73">
        <v>61</v>
      </c>
      <c r="B428" s="61" t="s">
        <v>1031</v>
      </c>
      <c r="C428" s="432" t="s">
        <v>1032</v>
      </c>
      <c r="D428" s="359" t="s">
        <v>1033</v>
      </c>
      <c r="E428" s="754"/>
      <c r="F428" s="817"/>
      <c r="G428" s="852" t="s">
        <v>1034</v>
      </c>
      <c r="H428" s="46" t="s">
        <v>39</v>
      </c>
      <c r="I428" s="47">
        <v>20</v>
      </c>
      <c r="J428" s="183">
        <f t="shared" si="129"/>
        <v>0</v>
      </c>
      <c r="K428" s="829"/>
      <c r="L428" s="177">
        <f>K428/138</f>
        <v>0</v>
      </c>
      <c r="M428" s="89">
        <f t="shared" si="130"/>
        <v>0</v>
      </c>
      <c r="N428" s="41"/>
      <c r="O428" s="76"/>
      <c r="P428" s="43"/>
    </row>
    <row r="429" spans="1:16" ht="16.5" customHeight="1">
      <c r="A429" s="226"/>
      <c r="B429" s="53" t="s">
        <v>1035</v>
      </c>
      <c r="C429" s="85" t="s">
        <v>1036</v>
      </c>
      <c r="D429" s="225"/>
      <c r="E429" s="748"/>
      <c r="F429" s="815"/>
      <c r="G429" s="839" t="s">
        <v>885</v>
      </c>
      <c r="H429" s="36" t="s">
        <v>39</v>
      </c>
      <c r="I429" s="37">
        <v>70</v>
      </c>
      <c r="J429" s="38">
        <f t="shared" si="129"/>
        <v>0</v>
      </c>
      <c r="K429" s="796"/>
      <c r="L429" s="300">
        <f>K429/144</f>
        <v>0</v>
      </c>
      <c r="M429" s="40">
        <f>K429*I429</f>
        <v>0</v>
      </c>
      <c r="N429" s="41">
        <v>22.32</v>
      </c>
      <c r="O429" s="42">
        <f>(K429-N429)/N429</f>
        <v>-1</v>
      </c>
      <c r="P429" s="43">
        <v>21.55</v>
      </c>
    </row>
    <row r="430" spans="1:16" ht="16.5" customHeight="1">
      <c r="A430" s="73">
        <v>62</v>
      </c>
      <c r="B430" s="61"/>
      <c r="C430" s="229" t="s">
        <v>1037</v>
      </c>
      <c r="D430" s="325" t="s">
        <v>64</v>
      </c>
      <c r="E430" s="756"/>
      <c r="F430" s="816"/>
      <c r="G430" s="851" t="s">
        <v>1038</v>
      </c>
      <c r="H430" s="113"/>
      <c r="I430" s="64"/>
      <c r="J430" s="38">
        <f t="shared" si="129"/>
        <v>0</v>
      </c>
      <c r="K430" s="831"/>
      <c r="L430" s="301"/>
      <c r="M430" s="219"/>
      <c r="N430" s="299"/>
      <c r="O430" s="76"/>
      <c r="P430" s="43"/>
    </row>
    <row r="431" spans="1:16" ht="16.5" customHeight="1">
      <c r="A431" s="31"/>
      <c r="B431" s="61"/>
      <c r="C431" s="229" t="s">
        <v>1039</v>
      </c>
      <c r="D431" s="112"/>
      <c r="E431" s="756"/>
      <c r="F431" s="816"/>
      <c r="G431" s="851"/>
      <c r="H431" s="113"/>
      <c r="I431" s="64"/>
      <c r="J431" s="38">
        <f t="shared" si="129"/>
        <v>0</v>
      </c>
      <c r="K431" s="831"/>
      <c r="L431" s="301"/>
      <c r="M431" s="187"/>
      <c r="N431" s="299"/>
      <c r="O431" s="51"/>
      <c r="P431" s="43"/>
    </row>
    <row r="432" spans="1:16" ht="16.5" customHeight="1">
      <c r="A432" s="226"/>
      <c r="B432" s="544" t="s">
        <v>1040</v>
      </c>
      <c r="C432" s="135" t="s">
        <v>1041</v>
      </c>
      <c r="D432" s="362" t="s">
        <v>64</v>
      </c>
      <c r="E432" s="748"/>
      <c r="F432" s="815"/>
      <c r="G432" s="839" t="s">
        <v>885</v>
      </c>
      <c r="H432" s="36"/>
      <c r="I432" s="37"/>
      <c r="J432" s="38">
        <f t="shared" si="129"/>
        <v>0</v>
      </c>
      <c r="K432" s="796"/>
      <c r="L432" s="300"/>
      <c r="M432" s="40"/>
      <c r="N432" s="41"/>
      <c r="O432" s="76"/>
      <c r="P432" s="43"/>
    </row>
    <row r="433" spans="1:16" ht="16.5" customHeight="1">
      <c r="A433" s="73">
        <v>63</v>
      </c>
      <c r="B433" s="545"/>
      <c r="C433" s="339"/>
      <c r="D433" s="394"/>
      <c r="E433" s="875"/>
      <c r="F433" s="817"/>
      <c r="G433" s="890" t="s">
        <v>1042</v>
      </c>
      <c r="H433" s="46" t="s">
        <v>39</v>
      </c>
      <c r="I433" s="47">
        <v>20</v>
      </c>
      <c r="J433" s="38">
        <f t="shared" si="129"/>
        <v>0</v>
      </c>
      <c r="K433" s="797"/>
      <c r="L433" s="309">
        <f>K433/144</f>
        <v>0</v>
      </c>
      <c r="M433" s="89">
        <f>I433*K433</f>
        <v>0</v>
      </c>
      <c r="N433" s="50">
        <v>20.350000000000001</v>
      </c>
      <c r="O433" s="42">
        <f>(K433-N433)/N433</f>
        <v>-1</v>
      </c>
      <c r="P433" s="52">
        <v>17.75</v>
      </c>
    </row>
    <row r="434" spans="1:16" ht="16.5" customHeight="1">
      <c r="A434" s="226"/>
      <c r="B434" s="544" t="s">
        <v>1043</v>
      </c>
      <c r="C434" s="108" t="s">
        <v>1044</v>
      </c>
      <c r="D434" s="362"/>
      <c r="E434" s="748"/>
      <c r="F434" s="815"/>
      <c r="G434" s="839" t="s">
        <v>885</v>
      </c>
      <c r="H434" s="36"/>
      <c r="I434" s="37"/>
      <c r="J434" s="38">
        <f t="shared" si="129"/>
        <v>0</v>
      </c>
      <c r="K434" s="796"/>
      <c r="L434" s="300"/>
      <c r="M434" s="40"/>
      <c r="N434" s="41"/>
      <c r="O434" s="76"/>
      <c r="P434" s="43"/>
    </row>
    <row r="435" spans="1:16" ht="16.5" customHeight="1">
      <c r="A435" s="73">
        <v>64</v>
      </c>
      <c r="B435" s="545"/>
      <c r="C435" s="222"/>
      <c r="D435" s="400" t="s">
        <v>64</v>
      </c>
      <c r="E435" s="875"/>
      <c r="F435" s="817"/>
      <c r="G435" s="890" t="s">
        <v>1042</v>
      </c>
      <c r="H435" s="46" t="s">
        <v>39</v>
      </c>
      <c r="I435" s="47">
        <v>35</v>
      </c>
      <c r="J435" s="38">
        <f t="shared" si="129"/>
        <v>0</v>
      </c>
      <c r="K435" s="797"/>
      <c r="L435" s="309">
        <f t="shared" ref="L435:L436" si="131">K435/144</f>
        <v>0</v>
      </c>
      <c r="M435" s="89">
        <f>K435*I435</f>
        <v>0</v>
      </c>
      <c r="N435" s="50">
        <v>20.27</v>
      </c>
      <c r="O435" s="42">
        <f t="shared" ref="O435:O439" si="132">(K435-N435)/N435</f>
        <v>-1</v>
      </c>
      <c r="P435" s="52">
        <v>16.95</v>
      </c>
    </row>
    <row r="436" spans="1:16" ht="16.5" customHeight="1">
      <c r="A436" s="226">
        <v>65</v>
      </c>
      <c r="B436" s="53" t="s">
        <v>1045</v>
      </c>
      <c r="C436" s="135" t="s">
        <v>1046</v>
      </c>
      <c r="D436" s="392" t="s">
        <v>64</v>
      </c>
      <c r="E436" s="876"/>
      <c r="F436" s="815"/>
      <c r="G436" s="854" t="s">
        <v>1047</v>
      </c>
      <c r="H436" s="36" t="s">
        <v>39</v>
      </c>
      <c r="I436" s="37">
        <v>20</v>
      </c>
      <c r="J436" s="38">
        <f t="shared" si="129"/>
        <v>0</v>
      </c>
      <c r="K436" s="796"/>
      <c r="L436" s="300">
        <f t="shared" si="131"/>
        <v>0</v>
      </c>
      <c r="M436" s="186">
        <f t="shared" ref="M436:M439" si="133">I436*K436</f>
        <v>0</v>
      </c>
      <c r="N436" s="41">
        <v>40.5</v>
      </c>
      <c r="O436" s="42">
        <f t="shared" si="132"/>
        <v>-1</v>
      </c>
      <c r="P436" s="43">
        <v>41.39</v>
      </c>
    </row>
    <row r="437" spans="1:16" ht="16.5" customHeight="1">
      <c r="A437" s="226">
        <v>66</v>
      </c>
      <c r="B437" s="53" t="s">
        <v>1048</v>
      </c>
      <c r="C437" s="135" t="s">
        <v>1049</v>
      </c>
      <c r="D437" s="362" t="s">
        <v>1050</v>
      </c>
      <c r="E437" s="748"/>
      <c r="F437" s="815"/>
      <c r="G437" s="839" t="s">
        <v>1051</v>
      </c>
      <c r="H437" s="36" t="s">
        <v>39</v>
      </c>
      <c r="I437" s="37">
        <v>5</v>
      </c>
      <c r="J437" s="38">
        <f t="shared" si="129"/>
        <v>0</v>
      </c>
      <c r="K437" s="796"/>
      <c r="L437" s="300">
        <f>K437/316</f>
        <v>0</v>
      </c>
      <c r="M437" s="186">
        <f t="shared" si="133"/>
        <v>0</v>
      </c>
      <c r="N437" s="41">
        <v>3.93</v>
      </c>
      <c r="O437" s="42">
        <f t="shared" si="132"/>
        <v>-1</v>
      </c>
      <c r="P437" s="43">
        <f>35.95/12</f>
        <v>2.9958333333333336</v>
      </c>
    </row>
    <row r="438" spans="1:16" ht="16.5" customHeight="1">
      <c r="A438" s="226">
        <v>67</v>
      </c>
      <c r="B438" s="119" t="s">
        <v>1052</v>
      </c>
      <c r="C438" s="318" t="s">
        <v>1053</v>
      </c>
      <c r="D438" s="356" t="s">
        <v>1054</v>
      </c>
      <c r="E438" s="757"/>
      <c r="F438" s="819"/>
      <c r="G438" s="854" t="s">
        <v>1055</v>
      </c>
      <c r="H438" s="120" t="s">
        <v>902</v>
      </c>
      <c r="I438" s="433">
        <v>38</v>
      </c>
      <c r="J438" s="38">
        <f t="shared" si="129"/>
        <v>0</v>
      </c>
      <c r="K438" s="905"/>
      <c r="L438" s="315"/>
      <c r="M438" s="163">
        <f t="shared" si="133"/>
        <v>0</v>
      </c>
      <c r="N438" s="386">
        <v>9.32</v>
      </c>
      <c r="O438" s="42">
        <f t="shared" si="132"/>
        <v>-1</v>
      </c>
      <c r="P438" s="43">
        <v>8.5</v>
      </c>
    </row>
    <row r="439" spans="1:16" ht="16.5" customHeight="1">
      <c r="A439" s="226">
        <v>68</v>
      </c>
      <c r="B439" s="61" t="s">
        <v>1056</v>
      </c>
      <c r="C439" s="184" t="s">
        <v>1057</v>
      </c>
      <c r="D439" s="356" t="s">
        <v>1058</v>
      </c>
      <c r="E439" s="745"/>
      <c r="F439" s="816"/>
      <c r="G439" s="851" t="s">
        <v>1059</v>
      </c>
      <c r="H439" s="113" t="s">
        <v>39</v>
      </c>
      <c r="I439" s="64">
        <v>45</v>
      </c>
      <c r="J439" s="38">
        <f t="shared" si="129"/>
        <v>0</v>
      </c>
      <c r="K439" s="831"/>
      <c r="L439" s="301">
        <f>K439/360</f>
        <v>0</v>
      </c>
      <c r="M439" s="58">
        <f t="shared" si="133"/>
        <v>0</v>
      </c>
      <c r="N439" s="299">
        <v>58.32</v>
      </c>
      <c r="O439" s="42">
        <f t="shared" si="132"/>
        <v>-1</v>
      </c>
      <c r="P439" s="43">
        <v>54.21</v>
      </c>
    </row>
    <row r="440" spans="1:16" ht="16.5" customHeight="1">
      <c r="A440" s="31"/>
      <c r="B440" s="115"/>
      <c r="C440" s="44" t="s">
        <v>1060</v>
      </c>
      <c r="D440" s="110"/>
      <c r="E440" s="744"/>
      <c r="F440" s="816"/>
      <c r="G440" s="852" t="s">
        <v>42</v>
      </c>
      <c r="H440" s="46"/>
      <c r="I440" s="47"/>
      <c r="J440" s="38">
        <f t="shared" si="129"/>
        <v>0</v>
      </c>
      <c r="K440" s="797"/>
      <c r="L440" s="309"/>
      <c r="M440" s="223"/>
      <c r="N440" s="50"/>
      <c r="O440" s="76"/>
      <c r="P440" s="52"/>
    </row>
    <row r="441" spans="1:16" ht="16.5" customHeight="1">
      <c r="A441" s="226">
        <v>69</v>
      </c>
      <c r="B441" s="53" t="s">
        <v>1061</v>
      </c>
      <c r="C441" s="108" t="s">
        <v>1062</v>
      </c>
      <c r="D441" s="362" t="s">
        <v>1063</v>
      </c>
      <c r="E441" s="748"/>
      <c r="F441" s="815"/>
      <c r="G441" s="839" t="s">
        <v>1064</v>
      </c>
      <c r="H441" s="36" t="s">
        <v>39</v>
      </c>
      <c r="I441" s="37">
        <v>15</v>
      </c>
      <c r="J441" s="38">
        <f t="shared" si="129"/>
        <v>0</v>
      </c>
      <c r="K441" s="796"/>
      <c r="L441" s="434">
        <f>K441/234</f>
        <v>0</v>
      </c>
      <c r="M441" s="40">
        <f>I441*K441</f>
        <v>0</v>
      </c>
      <c r="N441" s="41">
        <v>48.11</v>
      </c>
      <c r="O441" s="42">
        <f>(K441-N441)/N441</f>
        <v>-1</v>
      </c>
      <c r="P441" s="43">
        <v>45.86</v>
      </c>
    </row>
    <row r="442" spans="1:16" ht="16.5" customHeight="1">
      <c r="A442" s="31"/>
      <c r="B442" s="61"/>
      <c r="C442" s="172" t="s">
        <v>1065</v>
      </c>
      <c r="D442" s="112"/>
      <c r="E442" s="756"/>
      <c r="F442" s="816"/>
      <c r="G442" s="851" t="s">
        <v>42</v>
      </c>
      <c r="H442" s="113"/>
      <c r="I442" s="64"/>
      <c r="J442" s="38">
        <f t="shared" si="129"/>
        <v>0</v>
      </c>
      <c r="K442" s="831"/>
      <c r="L442" s="301"/>
      <c r="M442" s="219"/>
      <c r="N442" s="299"/>
      <c r="O442" s="51"/>
      <c r="P442" s="43"/>
    </row>
    <row r="443" spans="1:16" ht="16.5" customHeight="1">
      <c r="A443" s="31"/>
      <c r="B443" s="115"/>
      <c r="C443" s="109" t="s">
        <v>1066</v>
      </c>
      <c r="D443" s="110"/>
      <c r="E443" s="752"/>
      <c r="F443" s="817"/>
      <c r="G443" s="852"/>
      <c r="H443" s="46"/>
      <c r="I443" s="47"/>
      <c r="J443" s="38">
        <f t="shared" si="129"/>
        <v>0</v>
      </c>
      <c r="K443" s="797"/>
      <c r="L443" s="309"/>
      <c r="M443" s="223"/>
      <c r="N443" s="50"/>
      <c r="O443" s="76"/>
      <c r="P443" s="52"/>
    </row>
    <row r="444" spans="1:16" ht="16.5" customHeight="1">
      <c r="A444" s="226">
        <v>70</v>
      </c>
      <c r="B444" s="53" t="s">
        <v>1067</v>
      </c>
      <c r="C444" s="108" t="s">
        <v>1068</v>
      </c>
      <c r="D444" s="362" t="s">
        <v>64</v>
      </c>
      <c r="E444" s="748" t="s">
        <v>47</v>
      </c>
      <c r="F444" s="888"/>
      <c r="G444" s="839" t="s">
        <v>1069</v>
      </c>
      <c r="H444" s="36" t="s">
        <v>39</v>
      </c>
      <c r="I444" s="37">
        <v>2</v>
      </c>
      <c r="J444" s="38">
        <f t="shared" si="129"/>
        <v>0</v>
      </c>
      <c r="K444" s="796"/>
      <c r="L444" s="300">
        <f>K444/144</f>
        <v>0</v>
      </c>
      <c r="M444" s="40">
        <f>I444*K444</f>
        <v>0</v>
      </c>
      <c r="N444" s="41">
        <v>21.89</v>
      </c>
      <c r="O444" s="42">
        <f>(K444-N444)/N444</f>
        <v>-1</v>
      </c>
      <c r="P444" s="43">
        <v>21.11</v>
      </c>
    </row>
    <row r="445" spans="1:16" ht="16.5" customHeight="1">
      <c r="A445" s="31"/>
      <c r="B445" s="61"/>
      <c r="C445" s="172" t="s">
        <v>1070</v>
      </c>
      <c r="D445" s="112"/>
      <c r="E445" s="756"/>
      <c r="F445" s="816"/>
      <c r="G445" s="851" t="s">
        <v>42</v>
      </c>
      <c r="H445" s="113"/>
      <c r="I445" s="64"/>
      <c r="J445" s="38">
        <f t="shared" si="129"/>
        <v>0</v>
      </c>
      <c r="K445" s="831"/>
      <c r="L445" s="301"/>
      <c r="M445" s="219"/>
      <c r="N445" s="299"/>
      <c r="O445" s="76"/>
      <c r="P445" s="43"/>
    </row>
    <row r="446" spans="1:16" ht="16.5" customHeight="1">
      <c r="A446" s="31"/>
      <c r="B446" s="115"/>
      <c r="C446" s="109" t="s">
        <v>1071</v>
      </c>
      <c r="D446" s="110"/>
      <c r="E446" s="752"/>
      <c r="F446" s="817"/>
      <c r="G446" s="852"/>
      <c r="H446" s="46"/>
      <c r="I446" s="47"/>
      <c r="J446" s="38">
        <f t="shared" si="129"/>
        <v>0</v>
      </c>
      <c r="K446" s="797"/>
      <c r="L446" s="309"/>
      <c r="M446" s="223"/>
      <c r="N446" s="50"/>
      <c r="O446" s="76"/>
      <c r="P446" s="52"/>
    </row>
    <row r="447" spans="1:16" ht="16.5" customHeight="1">
      <c r="A447" s="226">
        <v>71</v>
      </c>
      <c r="B447" s="53" t="s">
        <v>1072</v>
      </c>
      <c r="C447" s="135" t="s">
        <v>1073</v>
      </c>
      <c r="D447" s="362" t="s">
        <v>64</v>
      </c>
      <c r="E447" s="748"/>
      <c r="F447" s="815"/>
      <c r="G447" s="839" t="s">
        <v>995</v>
      </c>
      <c r="H447" s="36" t="s">
        <v>39</v>
      </c>
      <c r="I447" s="37">
        <v>3</v>
      </c>
      <c r="J447" s="38">
        <f t="shared" si="129"/>
        <v>0</v>
      </c>
      <c r="K447" s="796"/>
      <c r="L447" s="300">
        <f>K447/144</f>
        <v>0</v>
      </c>
      <c r="M447" s="40">
        <f>I447*K447</f>
        <v>0</v>
      </c>
      <c r="N447" s="41">
        <v>19.989999999999998</v>
      </c>
      <c r="O447" s="42">
        <f>(K447-N447)/N447</f>
        <v>-1</v>
      </c>
      <c r="P447" s="43">
        <v>20.37</v>
      </c>
    </row>
    <row r="448" spans="1:16" ht="16.5" customHeight="1">
      <c r="A448" s="31"/>
      <c r="B448" s="61"/>
      <c r="C448" s="111" t="s">
        <v>1074</v>
      </c>
      <c r="D448" s="435"/>
      <c r="E448" s="891"/>
      <c r="F448" s="816"/>
      <c r="G448" s="892" t="s">
        <v>1042</v>
      </c>
      <c r="H448" s="113"/>
      <c r="I448" s="64"/>
      <c r="J448" s="88">
        <f t="shared" si="129"/>
        <v>0</v>
      </c>
      <c r="K448" s="833"/>
      <c r="L448" s="304"/>
      <c r="M448" s="58"/>
      <c r="N448" s="50"/>
      <c r="O448" s="76"/>
      <c r="P448" s="52"/>
    </row>
    <row r="449" spans="1:16" ht="16.5" customHeight="1">
      <c r="A449" s="305">
        <v>72</v>
      </c>
      <c r="B449" s="53" t="s">
        <v>1075</v>
      </c>
      <c r="C449" s="85" t="s">
        <v>1076</v>
      </c>
      <c r="D449" s="356" t="s">
        <v>64</v>
      </c>
      <c r="E449" s="753"/>
      <c r="F449" s="815"/>
      <c r="G449" s="893" t="s">
        <v>1077</v>
      </c>
      <c r="H449" s="36" t="s">
        <v>39</v>
      </c>
      <c r="I449" s="37">
        <v>10</v>
      </c>
      <c r="J449" s="88">
        <f t="shared" si="129"/>
        <v>0</v>
      </c>
      <c r="K449" s="834"/>
      <c r="L449" s="136">
        <f t="shared" ref="L449:L450" si="134">K449/144</f>
        <v>0</v>
      </c>
      <c r="M449" s="40">
        <f>I449*K449:K461</f>
        <v>0</v>
      </c>
      <c r="N449" s="261">
        <v>24.4</v>
      </c>
      <c r="O449" s="42">
        <f>(K449-N449)/N449</f>
        <v>-1</v>
      </c>
      <c r="P449" s="43">
        <v>24.1</v>
      </c>
    </row>
    <row r="450" spans="1:16" ht="16.5" customHeight="1">
      <c r="A450" s="96"/>
      <c r="B450" s="61"/>
      <c r="C450" s="179"/>
      <c r="D450" s="112"/>
      <c r="E450" s="755"/>
      <c r="F450" s="816"/>
      <c r="G450" s="851" t="s">
        <v>42</v>
      </c>
      <c r="H450" s="19"/>
      <c r="I450" s="403"/>
      <c r="J450" s="290"/>
      <c r="K450" s="906"/>
      <c r="L450" s="139">
        <f t="shared" si="134"/>
        <v>0</v>
      </c>
      <c r="M450" s="58"/>
      <c r="N450" s="306"/>
      <c r="O450" s="76"/>
      <c r="P450" s="134">
        <f>P449-4.29</f>
        <v>19.810000000000002</v>
      </c>
    </row>
    <row r="451" spans="1:16" ht="16.5" customHeight="1">
      <c r="A451" s="305">
        <v>73</v>
      </c>
      <c r="B451" s="32" t="s">
        <v>1078</v>
      </c>
      <c r="C451" s="570" t="s">
        <v>1079</v>
      </c>
      <c r="D451" s="356" t="s">
        <v>64</v>
      </c>
      <c r="E451" s="753" t="s">
        <v>47</v>
      </c>
      <c r="F451" s="815"/>
      <c r="G451" s="839" t="s">
        <v>1080</v>
      </c>
      <c r="H451" s="36" t="s">
        <v>39</v>
      </c>
      <c r="I451" s="37">
        <v>60</v>
      </c>
      <c r="J451" s="88">
        <f>(K451*8%)+K451</f>
        <v>0</v>
      </c>
      <c r="K451" s="834"/>
      <c r="L451" s="136">
        <f t="shared" ref="L451:L452" si="135">K451/288</f>
        <v>0</v>
      </c>
      <c r="M451" s="40">
        <f>I451*K451</f>
        <v>0</v>
      </c>
      <c r="N451" s="261">
        <v>30.29</v>
      </c>
      <c r="O451" s="42">
        <f>(K451-N451)/N451</f>
        <v>-1</v>
      </c>
      <c r="P451" s="43">
        <v>29.99</v>
      </c>
    </row>
    <row r="452" spans="1:16" ht="16.5" customHeight="1">
      <c r="A452" s="305"/>
      <c r="B452" s="61"/>
      <c r="C452" s="545"/>
      <c r="D452" s="112"/>
      <c r="E452" s="755"/>
      <c r="F452" s="816"/>
      <c r="G452" s="840" t="s">
        <v>42</v>
      </c>
      <c r="H452" s="113"/>
      <c r="I452" s="64"/>
      <c r="J452" s="290"/>
      <c r="K452" s="906"/>
      <c r="L452" s="139">
        <f t="shared" si="135"/>
        <v>0</v>
      </c>
      <c r="M452" s="139" t="s">
        <v>1081</v>
      </c>
      <c r="N452" s="436"/>
      <c r="O452" s="76"/>
      <c r="P452" s="134">
        <f>P451-3.02</f>
        <v>26.97</v>
      </c>
    </row>
    <row r="453" spans="1:16" ht="16.5" customHeight="1">
      <c r="A453" s="305">
        <v>74</v>
      </c>
      <c r="B453" s="32" t="s">
        <v>1082</v>
      </c>
      <c r="C453" s="571" t="s">
        <v>1083</v>
      </c>
      <c r="D453" s="142" t="s">
        <v>1084</v>
      </c>
      <c r="E453" s="753" t="s">
        <v>47</v>
      </c>
      <c r="F453" s="815"/>
      <c r="G453" s="844" t="s">
        <v>1085</v>
      </c>
      <c r="H453" s="36" t="s">
        <v>39</v>
      </c>
      <c r="I453" s="37">
        <v>40</v>
      </c>
      <c r="J453" s="88">
        <f>(K453*8%)+K453</f>
        <v>0</v>
      </c>
      <c r="K453" s="834"/>
      <c r="L453" s="136">
        <f t="shared" ref="L453:L454" si="136">K453/168</f>
        <v>0</v>
      </c>
      <c r="M453" s="186">
        <f>K453*I453</f>
        <v>0</v>
      </c>
      <c r="N453" s="261">
        <v>43.07</v>
      </c>
      <c r="O453" s="42">
        <f>(K453-N453)/N453</f>
        <v>-1</v>
      </c>
      <c r="P453" s="43">
        <v>42.77</v>
      </c>
    </row>
    <row r="454" spans="1:16" ht="16.5" customHeight="1">
      <c r="A454" s="96"/>
      <c r="B454" s="115"/>
      <c r="C454" s="545"/>
      <c r="D454" s="110"/>
      <c r="E454" s="754"/>
      <c r="F454" s="817"/>
      <c r="G454" s="845"/>
      <c r="H454" s="46"/>
      <c r="I454" s="47"/>
      <c r="J454" s="181"/>
      <c r="K454" s="835"/>
      <c r="L454" s="156">
        <f t="shared" si="136"/>
        <v>0</v>
      </c>
      <c r="M454" s="189"/>
      <c r="N454" s="306"/>
      <c r="O454" s="76"/>
      <c r="P454" s="134">
        <f>P453-3.02</f>
        <v>39.75</v>
      </c>
    </row>
    <row r="455" spans="1:16" ht="16.5" customHeight="1">
      <c r="A455" s="226">
        <v>75</v>
      </c>
      <c r="B455" s="61" t="s">
        <v>1086</v>
      </c>
      <c r="C455" s="172" t="s">
        <v>1087</v>
      </c>
      <c r="D455" s="356" t="s">
        <v>64</v>
      </c>
      <c r="E455" s="775" t="s">
        <v>47</v>
      </c>
      <c r="F455" s="816"/>
      <c r="G455" s="851" t="s">
        <v>1088</v>
      </c>
      <c r="H455" s="113" t="s">
        <v>39</v>
      </c>
      <c r="I455" s="64">
        <v>10</v>
      </c>
      <c r="J455" s="183">
        <f t="shared" ref="J455:J458" si="137">(K455*8%)+K455</f>
        <v>0</v>
      </c>
      <c r="K455" s="830"/>
      <c r="L455" s="308">
        <f>K455/144</f>
        <v>0</v>
      </c>
      <c r="M455" s="58">
        <f>I455*K455</f>
        <v>0</v>
      </c>
      <c r="N455" s="41">
        <v>27.74</v>
      </c>
      <c r="O455" s="42">
        <f>(K455-N455)/N455</f>
        <v>-1</v>
      </c>
      <c r="P455" s="43">
        <v>27.44</v>
      </c>
    </row>
    <row r="456" spans="1:16" ht="16.5" customHeight="1">
      <c r="A456" s="31"/>
      <c r="B456" s="61"/>
      <c r="C456" s="172" t="s">
        <v>1089</v>
      </c>
      <c r="D456" s="112"/>
      <c r="E456" s="756"/>
      <c r="F456" s="816"/>
      <c r="G456" s="851" t="s">
        <v>42</v>
      </c>
      <c r="H456" s="113"/>
      <c r="I456" s="64"/>
      <c r="J456" s="38">
        <f t="shared" si="137"/>
        <v>0</v>
      </c>
      <c r="K456" s="831"/>
      <c r="L456" s="301"/>
      <c r="M456" s="219"/>
      <c r="N456" s="299"/>
      <c r="O456" s="76"/>
      <c r="P456" s="43"/>
    </row>
    <row r="457" spans="1:16" ht="16.5" customHeight="1">
      <c r="A457" s="31"/>
      <c r="B457" s="115"/>
      <c r="C457" s="363" t="s">
        <v>1090</v>
      </c>
      <c r="D457" s="110"/>
      <c r="E457" s="752"/>
      <c r="F457" s="817"/>
      <c r="G457" s="852"/>
      <c r="H457" s="46"/>
      <c r="I457" s="47"/>
      <c r="J457" s="38">
        <f t="shared" si="137"/>
        <v>0</v>
      </c>
      <c r="K457" s="797"/>
      <c r="L457" s="309"/>
      <c r="M457" s="223"/>
      <c r="N457" s="50"/>
      <c r="O457" s="76"/>
      <c r="P457" s="52"/>
    </row>
    <row r="458" spans="1:16" ht="16.5" customHeight="1">
      <c r="A458" s="226">
        <v>76</v>
      </c>
      <c r="B458" s="53" t="s">
        <v>1091</v>
      </c>
      <c r="C458" s="108" t="s">
        <v>1092</v>
      </c>
      <c r="D458" s="356" t="s">
        <v>64</v>
      </c>
      <c r="E458" s="748" t="s">
        <v>47</v>
      </c>
      <c r="F458" s="815"/>
      <c r="G458" s="839" t="s">
        <v>1093</v>
      </c>
      <c r="H458" s="36" t="s">
        <v>39</v>
      </c>
      <c r="I458" s="37">
        <v>12</v>
      </c>
      <c r="J458" s="38">
        <f t="shared" si="137"/>
        <v>0</v>
      </c>
      <c r="K458" s="796"/>
      <c r="L458" s="300">
        <f>K458/144</f>
        <v>0</v>
      </c>
      <c r="M458" s="40">
        <f>I458*K458</f>
        <v>0</v>
      </c>
      <c r="N458" s="41">
        <v>19.54</v>
      </c>
      <c r="O458" s="42">
        <f>(K458-N458)/N458</f>
        <v>-1</v>
      </c>
      <c r="P458" s="43">
        <v>19.59</v>
      </c>
    </row>
    <row r="459" spans="1:16" ht="16.5" customHeight="1">
      <c r="A459" s="31"/>
      <c r="B459" s="115"/>
      <c r="C459" s="222"/>
      <c r="D459" s="110"/>
      <c r="E459" s="752"/>
      <c r="F459" s="889"/>
      <c r="G459" s="852" t="s">
        <v>42</v>
      </c>
      <c r="H459" s="46"/>
      <c r="I459" s="47"/>
      <c r="J459" s="437"/>
      <c r="K459" s="797"/>
      <c r="L459" s="309"/>
      <c r="M459" s="223"/>
      <c r="N459" s="50"/>
      <c r="O459" s="76"/>
      <c r="P459" s="52" t="s">
        <v>230</v>
      </c>
    </row>
    <row r="460" spans="1:16" ht="16.5" customHeight="1">
      <c r="A460" s="226">
        <v>77</v>
      </c>
      <c r="B460" s="53" t="s">
        <v>1094</v>
      </c>
      <c r="C460" s="438" t="s">
        <v>1095</v>
      </c>
      <c r="D460" s="54" t="s">
        <v>1096</v>
      </c>
      <c r="E460" s="748"/>
      <c r="F460" s="815"/>
      <c r="G460" s="839" t="s">
        <v>1097</v>
      </c>
      <c r="H460" s="36" t="s">
        <v>39</v>
      </c>
      <c r="I460" s="37">
        <v>11</v>
      </c>
      <c r="J460" s="38">
        <f t="shared" ref="J460:J478" si="138">(K460*8%)+K460</f>
        <v>0</v>
      </c>
      <c r="K460" s="796"/>
      <c r="L460" s="300">
        <f>K460/24</f>
        <v>0</v>
      </c>
      <c r="M460" s="186">
        <f>I460*K460</f>
        <v>0</v>
      </c>
      <c r="N460" s="41">
        <v>31.75</v>
      </c>
      <c r="O460" s="42">
        <f>(K460-N460)/N460</f>
        <v>-1</v>
      </c>
      <c r="P460" s="43">
        <v>31.75</v>
      </c>
    </row>
    <row r="461" spans="1:16" ht="16.5" customHeight="1">
      <c r="A461" s="31"/>
      <c r="B461" s="115"/>
      <c r="C461" s="339"/>
      <c r="D461" s="110"/>
      <c r="E461" s="752"/>
      <c r="F461" s="817"/>
      <c r="G461" s="852"/>
      <c r="H461" s="46"/>
      <c r="I461" s="47"/>
      <c r="J461" s="38">
        <f t="shared" si="138"/>
        <v>0</v>
      </c>
      <c r="K461" s="797"/>
      <c r="L461" s="309" t="s">
        <v>33</v>
      </c>
      <c r="M461" s="223"/>
      <c r="N461" s="50"/>
      <c r="O461" s="76"/>
      <c r="P461" s="52"/>
    </row>
    <row r="462" spans="1:16" ht="16.5" customHeight="1">
      <c r="A462" s="226">
        <v>78</v>
      </c>
      <c r="B462" s="53" t="s">
        <v>1094</v>
      </c>
      <c r="C462" s="85" t="s">
        <v>1098</v>
      </c>
      <c r="D462" s="54" t="s">
        <v>1099</v>
      </c>
      <c r="E462" s="748"/>
      <c r="F462" s="815"/>
      <c r="G462" s="839" t="s">
        <v>1100</v>
      </c>
      <c r="H462" s="36" t="s">
        <v>39</v>
      </c>
      <c r="I462" s="37">
        <v>20</v>
      </c>
      <c r="J462" s="38">
        <f t="shared" si="138"/>
        <v>0</v>
      </c>
      <c r="K462" s="796"/>
      <c r="L462" s="300">
        <f>K462/24</f>
        <v>0</v>
      </c>
      <c r="M462" s="186">
        <f>I462*K462</f>
        <v>0</v>
      </c>
      <c r="N462" s="41">
        <v>28.42</v>
      </c>
      <c r="O462" s="42">
        <f>(K462-N462)/N462</f>
        <v>-1</v>
      </c>
      <c r="P462" s="43">
        <v>26.36</v>
      </c>
    </row>
    <row r="463" spans="1:16" ht="16.5" customHeight="1">
      <c r="A463" s="31"/>
      <c r="B463" s="115"/>
      <c r="C463" s="222"/>
      <c r="D463" s="110"/>
      <c r="E463" s="752"/>
      <c r="F463" s="817"/>
      <c r="G463" s="852" t="s">
        <v>42</v>
      </c>
      <c r="H463" s="46"/>
      <c r="I463" s="47"/>
      <c r="J463" s="38">
        <f t="shared" si="138"/>
        <v>0</v>
      </c>
      <c r="K463" s="797"/>
      <c r="L463" s="309" t="s">
        <v>33</v>
      </c>
      <c r="M463" s="223"/>
      <c r="N463" s="50"/>
      <c r="O463" s="76"/>
      <c r="P463" s="52"/>
    </row>
    <row r="464" spans="1:16" ht="16.5" customHeight="1">
      <c r="A464" s="226">
        <v>79</v>
      </c>
      <c r="B464" s="53" t="s">
        <v>1094</v>
      </c>
      <c r="C464" s="85" t="s">
        <v>1101</v>
      </c>
      <c r="D464" s="54" t="s">
        <v>1102</v>
      </c>
      <c r="E464" s="748"/>
      <c r="F464" s="815"/>
      <c r="G464" s="839" t="s">
        <v>1103</v>
      </c>
      <c r="H464" s="36" t="s">
        <v>39</v>
      </c>
      <c r="I464" s="37">
        <v>6</v>
      </c>
      <c r="J464" s="38">
        <f t="shared" si="138"/>
        <v>0</v>
      </c>
      <c r="K464" s="796"/>
      <c r="L464" s="300">
        <f>K464/24</f>
        <v>0</v>
      </c>
      <c r="M464" s="186">
        <f>I464*K464</f>
        <v>0</v>
      </c>
      <c r="N464" s="41">
        <v>27.1</v>
      </c>
      <c r="O464" s="42">
        <f>(K464-N464)/N464</f>
        <v>-1</v>
      </c>
      <c r="P464" s="43">
        <v>27.1</v>
      </c>
    </row>
    <row r="465" spans="1:16" ht="16.5" customHeight="1">
      <c r="A465" s="31"/>
      <c r="B465" s="115"/>
      <c r="C465" s="222"/>
      <c r="D465" s="110"/>
      <c r="E465" s="752"/>
      <c r="F465" s="817"/>
      <c r="G465" s="852" t="s">
        <v>42</v>
      </c>
      <c r="H465" s="46"/>
      <c r="I465" s="47"/>
      <c r="J465" s="38">
        <f t="shared" si="138"/>
        <v>0</v>
      </c>
      <c r="K465" s="797"/>
      <c r="L465" s="309" t="s">
        <v>33</v>
      </c>
      <c r="M465" s="223"/>
      <c r="N465" s="50"/>
      <c r="O465" s="76"/>
      <c r="P465" s="52"/>
    </row>
    <row r="466" spans="1:16" ht="16.5" customHeight="1">
      <c r="A466" s="226">
        <v>80</v>
      </c>
      <c r="B466" s="53" t="s">
        <v>1104</v>
      </c>
      <c r="C466" s="135" t="s">
        <v>1105</v>
      </c>
      <c r="D466" s="54" t="s">
        <v>1106</v>
      </c>
      <c r="E466" s="757"/>
      <c r="F466" s="815"/>
      <c r="G466" s="839" t="s">
        <v>1107</v>
      </c>
      <c r="H466" s="36" t="s">
        <v>39</v>
      </c>
      <c r="I466" s="37">
        <v>20</v>
      </c>
      <c r="J466" s="38">
        <f t="shared" si="138"/>
        <v>0</v>
      </c>
      <c r="K466" s="796"/>
      <c r="L466" s="300">
        <f t="shared" ref="L466:L467" si="139">K466/20</f>
        <v>0</v>
      </c>
      <c r="M466" s="40">
        <f t="shared" ref="M466:M467" si="140">I466*K466</f>
        <v>0</v>
      </c>
      <c r="N466" s="41">
        <v>24.79</v>
      </c>
      <c r="O466" s="42">
        <f t="shared" ref="O466:O467" si="141">(K466-N466)/N466</f>
        <v>-1</v>
      </c>
      <c r="P466" s="43">
        <v>22.9</v>
      </c>
    </row>
    <row r="467" spans="1:16" ht="16.5" customHeight="1">
      <c r="A467" s="226">
        <v>81</v>
      </c>
      <c r="B467" s="53" t="s">
        <v>1108</v>
      </c>
      <c r="C467" s="85" t="s">
        <v>1109</v>
      </c>
      <c r="D467" s="54"/>
      <c r="E467" s="748"/>
      <c r="F467" s="815"/>
      <c r="G467" s="839" t="s">
        <v>885</v>
      </c>
      <c r="H467" s="36" t="s">
        <v>39</v>
      </c>
      <c r="I467" s="37">
        <v>6</v>
      </c>
      <c r="J467" s="38">
        <f t="shared" si="138"/>
        <v>0</v>
      </c>
      <c r="K467" s="796"/>
      <c r="L467" s="300">
        <f t="shared" si="139"/>
        <v>0</v>
      </c>
      <c r="M467" s="40">
        <f t="shared" si="140"/>
        <v>0</v>
      </c>
      <c r="N467" s="41">
        <v>27.85</v>
      </c>
      <c r="O467" s="42">
        <f t="shared" si="141"/>
        <v>-1</v>
      </c>
      <c r="P467" s="43">
        <v>25.54</v>
      </c>
    </row>
    <row r="468" spans="1:16" ht="16.5" customHeight="1">
      <c r="A468" s="31"/>
      <c r="B468" s="115"/>
      <c r="C468" s="222"/>
      <c r="D468" s="56" t="s">
        <v>112</v>
      </c>
      <c r="E468" s="752"/>
      <c r="F468" s="817"/>
      <c r="G468" s="852" t="s">
        <v>1110</v>
      </c>
      <c r="H468" s="46"/>
      <c r="I468" s="47"/>
      <c r="J468" s="38">
        <f t="shared" si="138"/>
        <v>0</v>
      </c>
      <c r="K468" s="797"/>
      <c r="L468" s="309" t="s">
        <v>33</v>
      </c>
      <c r="M468" s="223"/>
      <c r="N468" s="50"/>
      <c r="O468" s="76"/>
      <c r="P468" s="52"/>
    </row>
    <row r="469" spans="1:16" ht="16.5" customHeight="1">
      <c r="A469" s="226">
        <v>82</v>
      </c>
      <c r="B469" s="544" t="s">
        <v>1111</v>
      </c>
      <c r="C469" s="85" t="s">
        <v>1112</v>
      </c>
      <c r="D469" s="225"/>
      <c r="E469" s="748"/>
      <c r="F469" s="815"/>
      <c r="G469" s="839" t="s">
        <v>1113</v>
      </c>
      <c r="H469" s="36" t="s">
        <v>39</v>
      </c>
      <c r="I469" s="37">
        <v>30</v>
      </c>
      <c r="J469" s="38">
        <f t="shared" si="138"/>
        <v>0</v>
      </c>
      <c r="K469" s="796"/>
      <c r="L469" s="300">
        <f>K469/30</f>
        <v>0</v>
      </c>
      <c r="M469" s="40">
        <f>(I469/20)*K469</f>
        <v>0</v>
      </c>
      <c r="N469" s="41">
        <v>22.66</v>
      </c>
      <c r="O469" s="42">
        <f>(K469-N469)/N469</f>
        <v>-1</v>
      </c>
      <c r="P469" s="43">
        <v>15.69</v>
      </c>
    </row>
    <row r="470" spans="1:16" ht="16.5" customHeight="1">
      <c r="A470" s="31"/>
      <c r="B470" s="545"/>
      <c r="C470" s="222"/>
      <c r="D470" s="56" t="s">
        <v>112</v>
      </c>
      <c r="E470" s="752"/>
      <c r="F470" s="817"/>
      <c r="G470" s="894" t="s">
        <v>1114</v>
      </c>
      <c r="H470" s="46"/>
      <c r="I470" s="47"/>
      <c r="J470" s="38">
        <f t="shared" si="138"/>
        <v>0</v>
      </c>
      <c r="K470" s="797"/>
      <c r="L470" s="309"/>
      <c r="M470" s="89"/>
      <c r="N470" s="50"/>
      <c r="O470" s="76"/>
      <c r="P470" s="52"/>
    </row>
    <row r="471" spans="1:16" ht="16.5" customHeight="1">
      <c r="A471" s="226">
        <v>83</v>
      </c>
      <c r="B471" s="53" t="s">
        <v>1115</v>
      </c>
      <c r="C471" s="165" t="s">
        <v>1116</v>
      </c>
      <c r="D471" s="54" t="s">
        <v>1117</v>
      </c>
      <c r="E471" s="748"/>
      <c r="F471" s="815"/>
      <c r="G471" s="839" t="s">
        <v>1118</v>
      </c>
      <c r="H471" s="36" t="s">
        <v>39</v>
      </c>
      <c r="I471" s="37">
        <v>40</v>
      </c>
      <c r="J471" s="38">
        <f t="shared" si="138"/>
        <v>0</v>
      </c>
      <c r="K471" s="796"/>
      <c r="L471" s="300">
        <f>K471/30</f>
        <v>0</v>
      </c>
      <c r="M471" s="40">
        <f>(I471/30)*K471</f>
        <v>0</v>
      </c>
      <c r="N471" s="41">
        <v>26.33</v>
      </c>
      <c r="O471" s="42">
        <f t="shared" ref="O471:O472" si="142">(K471-N471)/N471</f>
        <v>-1</v>
      </c>
      <c r="P471" s="43">
        <v>29.03</v>
      </c>
    </row>
    <row r="472" spans="1:16" ht="16.5" customHeight="1">
      <c r="A472" s="226">
        <v>84</v>
      </c>
      <c r="B472" s="572" t="s">
        <v>1119</v>
      </c>
      <c r="C472" s="439" t="s">
        <v>1120</v>
      </c>
      <c r="D472" s="440" t="s">
        <v>1121</v>
      </c>
      <c r="E472" s="895"/>
      <c r="F472" s="896"/>
      <c r="G472" s="897" t="s">
        <v>1122</v>
      </c>
      <c r="H472" s="441" t="s">
        <v>39</v>
      </c>
      <c r="I472" s="442">
        <v>10</v>
      </c>
      <c r="J472" s="38">
        <f t="shared" si="138"/>
        <v>0</v>
      </c>
      <c r="K472" s="907"/>
      <c r="L472" s="443">
        <f>K472/15</f>
        <v>0</v>
      </c>
      <c r="M472" s="444">
        <f>I472*K472</f>
        <v>0</v>
      </c>
      <c r="N472" s="445">
        <v>23.43</v>
      </c>
      <c r="O472" s="42">
        <f t="shared" si="142"/>
        <v>-1</v>
      </c>
      <c r="P472" s="43">
        <v>28.68</v>
      </c>
    </row>
    <row r="473" spans="1:16" ht="16.5" customHeight="1">
      <c r="A473" s="31"/>
      <c r="B473" s="573"/>
      <c r="C473" s="446"/>
      <c r="D473" s="447"/>
      <c r="E473" s="898"/>
      <c r="F473" s="899"/>
      <c r="G473" s="900"/>
      <c r="H473" s="448"/>
      <c r="I473" s="449"/>
      <c r="J473" s="38">
        <f t="shared" si="138"/>
        <v>0</v>
      </c>
      <c r="K473" s="908"/>
      <c r="L473" s="450"/>
      <c r="M473" s="451"/>
      <c r="N473" s="408"/>
      <c r="O473" s="76"/>
      <c r="P473" s="52"/>
    </row>
    <row r="474" spans="1:16" ht="16.5" customHeight="1">
      <c r="A474" s="226">
        <v>85</v>
      </c>
      <c r="B474" s="61" t="s">
        <v>1123</v>
      </c>
      <c r="C474" s="172" t="s">
        <v>1124</v>
      </c>
      <c r="D474" s="112"/>
      <c r="E474" s="756"/>
      <c r="F474" s="816"/>
      <c r="G474" s="851" t="s">
        <v>885</v>
      </c>
      <c r="H474" s="113" t="s">
        <v>39</v>
      </c>
      <c r="I474" s="64">
        <v>4</v>
      </c>
      <c r="J474" s="38">
        <f t="shared" si="138"/>
        <v>0</v>
      </c>
      <c r="K474" s="831"/>
      <c r="L474" s="301">
        <f>K474/20</f>
        <v>0</v>
      </c>
      <c r="M474" s="58">
        <f>I474*K474</f>
        <v>0</v>
      </c>
      <c r="N474" s="299">
        <v>16.670000000000002</v>
      </c>
      <c r="O474" s="42">
        <f>(K474-N474)/N474</f>
        <v>-1</v>
      </c>
      <c r="P474" s="43">
        <v>15.99</v>
      </c>
    </row>
    <row r="475" spans="1:16" ht="16.5" customHeight="1">
      <c r="A475" s="31"/>
      <c r="B475" s="115"/>
      <c r="C475" s="222"/>
      <c r="D475" s="56" t="s">
        <v>1125</v>
      </c>
      <c r="E475" s="752"/>
      <c r="F475" s="817"/>
      <c r="G475" s="894" t="s">
        <v>1126</v>
      </c>
      <c r="H475" s="46"/>
      <c r="I475" s="47"/>
      <c r="J475" s="38">
        <f t="shared" si="138"/>
        <v>0</v>
      </c>
      <c r="K475" s="797"/>
      <c r="L475" s="309" t="s">
        <v>33</v>
      </c>
      <c r="M475" s="223"/>
      <c r="N475" s="50"/>
      <c r="O475" s="76"/>
      <c r="P475" s="52"/>
    </row>
    <row r="476" spans="1:16" ht="16.5" customHeight="1">
      <c r="A476" s="226">
        <v>86</v>
      </c>
      <c r="B476" s="53" t="s">
        <v>1127</v>
      </c>
      <c r="C476" s="108" t="s">
        <v>1128</v>
      </c>
      <c r="D476" s="54" t="s">
        <v>1125</v>
      </c>
      <c r="E476" s="748"/>
      <c r="F476" s="815"/>
      <c r="G476" s="839" t="s">
        <v>885</v>
      </c>
      <c r="H476" s="36" t="s">
        <v>39</v>
      </c>
      <c r="I476" s="37">
        <v>15</v>
      </c>
      <c r="J476" s="38">
        <f t="shared" si="138"/>
        <v>0</v>
      </c>
      <c r="K476" s="796"/>
      <c r="L476" s="300">
        <f>K476/20</f>
        <v>0</v>
      </c>
      <c r="M476" s="40">
        <f>I476*K476</f>
        <v>0</v>
      </c>
      <c r="N476" s="41">
        <v>16.28</v>
      </c>
      <c r="O476" s="42">
        <f>(K476-N476)/N476</f>
        <v>-1</v>
      </c>
      <c r="P476" s="43">
        <v>15.99</v>
      </c>
    </row>
    <row r="477" spans="1:16" ht="16.5" customHeight="1">
      <c r="A477" s="31"/>
      <c r="B477" s="115"/>
      <c r="C477" s="222"/>
      <c r="D477" s="110"/>
      <c r="E477" s="752"/>
      <c r="F477" s="817"/>
      <c r="G477" s="894"/>
      <c r="H477" s="46"/>
      <c r="I477" s="47"/>
      <c r="J477" s="38">
        <f t="shared" si="138"/>
        <v>0</v>
      </c>
      <c r="K477" s="797"/>
      <c r="L477" s="309" t="s">
        <v>33</v>
      </c>
      <c r="M477" s="223"/>
      <c r="N477" s="50"/>
      <c r="O477" s="76"/>
      <c r="P477" s="52"/>
    </row>
    <row r="478" spans="1:16" ht="15.75" customHeight="1">
      <c r="A478" s="226">
        <v>87</v>
      </c>
      <c r="B478" s="32" t="s">
        <v>1129</v>
      </c>
      <c r="C478" s="85" t="s">
        <v>1130</v>
      </c>
      <c r="D478" s="54" t="s">
        <v>1131</v>
      </c>
      <c r="E478" s="748"/>
      <c r="F478" s="815"/>
      <c r="G478" s="839" t="s">
        <v>1132</v>
      </c>
      <c r="H478" s="36" t="s">
        <v>39</v>
      </c>
      <c r="I478" s="37">
        <v>20</v>
      </c>
      <c r="J478" s="38">
        <f t="shared" si="138"/>
        <v>0</v>
      </c>
      <c r="K478" s="796"/>
      <c r="L478" s="300">
        <f>K478/144</f>
        <v>0</v>
      </c>
      <c r="M478" s="40">
        <f>(I478*L478)</f>
        <v>0</v>
      </c>
      <c r="N478" s="41">
        <v>28.64</v>
      </c>
      <c r="O478" s="42">
        <f>(K478-N478)/N478</f>
        <v>-1</v>
      </c>
      <c r="P478" s="43">
        <v>27.26</v>
      </c>
    </row>
    <row r="479" spans="1:16" ht="16.5" customHeight="1">
      <c r="A479" s="31"/>
      <c r="B479" s="61"/>
      <c r="C479" s="307" t="s">
        <v>1133</v>
      </c>
      <c r="D479" s="112"/>
      <c r="E479" s="756"/>
      <c r="F479" s="816"/>
      <c r="G479" s="851" t="s">
        <v>42</v>
      </c>
      <c r="H479" s="113"/>
      <c r="I479" s="64"/>
      <c r="J479" s="38"/>
      <c r="K479" s="832"/>
      <c r="L479" s="302">
        <f>L478</f>
        <v>0</v>
      </c>
      <c r="M479" s="219"/>
      <c r="N479" s="303"/>
      <c r="O479" s="51"/>
      <c r="P479" s="134">
        <f>P478-6.84</f>
        <v>20.420000000000002</v>
      </c>
    </row>
    <row r="480" spans="1:16" ht="16.5" customHeight="1">
      <c r="A480" s="31"/>
      <c r="B480" s="61"/>
      <c r="C480" s="111" t="s">
        <v>1134</v>
      </c>
      <c r="D480" s="112"/>
      <c r="E480" s="749"/>
      <c r="F480" s="816"/>
      <c r="G480" s="851"/>
      <c r="H480" s="113"/>
      <c r="I480" s="64"/>
      <c r="J480" s="88">
        <f t="shared" ref="J480:J483" si="143">(K480*8%)+K480</f>
        <v>0</v>
      </c>
      <c r="K480" s="833"/>
      <c r="L480" s="304"/>
      <c r="M480" s="58"/>
      <c r="N480" s="50"/>
      <c r="O480" s="76"/>
      <c r="P480" s="52"/>
    </row>
    <row r="481" spans="1:16" ht="16.5" customHeight="1">
      <c r="A481" s="305">
        <v>88</v>
      </c>
      <c r="B481" s="53" t="s">
        <v>1135</v>
      </c>
      <c r="C481" s="108" t="s">
        <v>1136</v>
      </c>
      <c r="D481" s="54" t="s">
        <v>1121</v>
      </c>
      <c r="E481" s="753" t="s">
        <v>47</v>
      </c>
      <c r="F481" s="815"/>
      <c r="G481" s="839" t="s">
        <v>1137</v>
      </c>
      <c r="H481" s="36" t="s">
        <v>39</v>
      </c>
      <c r="I481" s="37">
        <v>51</v>
      </c>
      <c r="J481" s="88">
        <f t="shared" si="143"/>
        <v>0</v>
      </c>
      <c r="K481" s="834"/>
      <c r="L481" s="136">
        <f t="shared" ref="L481:L482" si="144">K481/72.9</f>
        <v>0</v>
      </c>
      <c r="M481" s="40">
        <f>I481*K481</f>
        <v>0</v>
      </c>
      <c r="N481" s="261">
        <v>4.9800000000000004</v>
      </c>
      <c r="O481" s="42">
        <f>(K481-N481)/N481</f>
        <v>-1</v>
      </c>
      <c r="P481" s="43">
        <v>24.98</v>
      </c>
    </row>
    <row r="482" spans="1:16" ht="16.5" customHeight="1">
      <c r="A482" s="96"/>
      <c r="B482" s="61"/>
      <c r="C482" s="123" t="s">
        <v>1138</v>
      </c>
      <c r="D482" s="112"/>
      <c r="E482" s="755"/>
      <c r="F482" s="816"/>
      <c r="G482" s="851" t="s">
        <v>442</v>
      </c>
      <c r="H482" s="113"/>
      <c r="I482" s="64"/>
      <c r="J482" s="290">
        <f t="shared" si="143"/>
        <v>0</v>
      </c>
      <c r="K482" s="906"/>
      <c r="L482" s="139">
        <f t="shared" si="144"/>
        <v>0</v>
      </c>
      <c r="M482" s="452"/>
      <c r="N482" s="436"/>
      <c r="O482" s="76"/>
      <c r="P482" s="134">
        <f>P481-2.61</f>
        <v>22.37</v>
      </c>
    </row>
    <row r="483" spans="1:16" ht="16.5" customHeight="1">
      <c r="A483" s="96"/>
      <c r="B483" s="115"/>
      <c r="C483" s="109" t="s">
        <v>1139</v>
      </c>
      <c r="D483" s="110"/>
      <c r="E483" s="754"/>
      <c r="F483" s="817"/>
      <c r="G483" s="852"/>
      <c r="H483" s="46"/>
      <c r="I483" s="47"/>
      <c r="J483" s="181">
        <f t="shared" si="143"/>
        <v>0</v>
      </c>
      <c r="K483" s="829"/>
      <c r="L483" s="177"/>
      <c r="M483" s="223"/>
      <c r="N483" s="398"/>
      <c r="O483" s="76"/>
      <c r="P483" s="52"/>
    </row>
    <row r="484" spans="1:16" ht="16.5" customHeight="1">
      <c r="A484" s="226">
        <v>89</v>
      </c>
      <c r="B484" s="61" t="s">
        <v>1140</v>
      </c>
      <c r="C484" s="123" t="s">
        <v>1141</v>
      </c>
      <c r="D484" s="62" t="s">
        <v>1121</v>
      </c>
      <c r="E484" s="775" t="s">
        <v>47</v>
      </c>
      <c r="F484" s="901"/>
      <c r="G484" s="851" t="s">
        <v>1142</v>
      </c>
      <c r="H484" s="113" t="s">
        <v>39</v>
      </c>
      <c r="I484" s="64">
        <v>20</v>
      </c>
      <c r="J484" s="183"/>
      <c r="K484" s="830"/>
      <c r="L484" s="308">
        <f>K484/71</f>
        <v>0</v>
      </c>
      <c r="M484" s="187">
        <f>K484*I484</f>
        <v>0</v>
      </c>
      <c r="N484" s="299">
        <v>27.28</v>
      </c>
      <c r="O484" s="76"/>
      <c r="P484" s="52"/>
    </row>
    <row r="485" spans="1:16" ht="16.5" customHeight="1">
      <c r="A485" s="31"/>
      <c r="B485" s="61"/>
      <c r="C485" s="313" t="s">
        <v>1143</v>
      </c>
      <c r="D485" s="110"/>
      <c r="E485" s="756"/>
      <c r="F485" s="821"/>
      <c r="G485" s="851"/>
      <c r="H485" s="113"/>
      <c r="I485" s="64"/>
      <c r="J485" s="38"/>
      <c r="K485" s="831"/>
      <c r="L485" s="301"/>
      <c r="M485" s="187"/>
      <c r="N485" s="299"/>
      <c r="O485" s="76"/>
      <c r="P485" s="52"/>
    </row>
    <row r="486" spans="1:16" ht="15.75" customHeight="1">
      <c r="A486" s="226">
        <v>90</v>
      </c>
      <c r="B486" s="53" t="s">
        <v>1144</v>
      </c>
      <c r="C486" s="453" t="s">
        <v>1145</v>
      </c>
      <c r="D486" s="54" t="s">
        <v>1146</v>
      </c>
      <c r="E486" s="748" t="s">
        <v>47</v>
      </c>
      <c r="F486" s="820"/>
      <c r="G486" s="839" t="s">
        <v>1147</v>
      </c>
      <c r="H486" s="36"/>
      <c r="I486" s="169">
        <v>20</v>
      </c>
      <c r="J486" s="38"/>
      <c r="K486" s="796"/>
      <c r="L486" s="300">
        <f>K486/71</f>
        <v>0</v>
      </c>
      <c r="M486" s="186">
        <f>K486*I486</f>
        <v>0</v>
      </c>
      <c r="N486" s="41">
        <v>32.6</v>
      </c>
      <c r="O486" s="76"/>
      <c r="P486" s="52"/>
    </row>
    <row r="487" spans="1:16" ht="16.5" customHeight="1">
      <c r="A487" s="31"/>
      <c r="B487" s="307"/>
      <c r="C487" s="111" t="s">
        <v>1148</v>
      </c>
      <c r="D487" s="112"/>
      <c r="E487" s="756"/>
      <c r="F487" s="821"/>
      <c r="G487" s="902"/>
      <c r="H487" s="113"/>
      <c r="I487" s="64"/>
      <c r="J487" s="38"/>
      <c r="K487" s="831"/>
      <c r="L487" s="301"/>
      <c r="M487" s="187"/>
      <c r="N487" s="299"/>
      <c r="O487" s="76"/>
      <c r="P487" s="52"/>
    </row>
    <row r="488" spans="1:16" ht="16.5" customHeight="1">
      <c r="A488" s="226">
        <v>91</v>
      </c>
      <c r="B488" s="53" t="s">
        <v>1149</v>
      </c>
      <c r="C488" s="135" t="s">
        <v>1150</v>
      </c>
      <c r="D488" s="142" t="s">
        <v>1151</v>
      </c>
      <c r="E488" s="748"/>
      <c r="F488" s="815"/>
      <c r="G488" s="839" t="s">
        <v>1152</v>
      </c>
      <c r="H488" s="36" t="s">
        <v>39</v>
      </c>
      <c r="I488" s="37">
        <v>5</v>
      </c>
      <c r="J488" s="38">
        <f t="shared" ref="J488:J490" si="145">(K488*8%)+K488</f>
        <v>0</v>
      </c>
      <c r="K488" s="796"/>
      <c r="L488" s="300">
        <f>K488/144</f>
        <v>0</v>
      </c>
      <c r="M488" s="186">
        <f>K488*I488</f>
        <v>0</v>
      </c>
      <c r="N488" s="41">
        <v>39.07</v>
      </c>
      <c r="O488" s="42">
        <f>(K488-N488)/N488</f>
        <v>-1</v>
      </c>
      <c r="P488" s="43">
        <v>37.229999999999997</v>
      </c>
    </row>
    <row r="489" spans="1:16" ht="16.5" customHeight="1">
      <c r="A489" s="31"/>
      <c r="B489" s="61"/>
      <c r="C489" s="111" t="s">
        <v>1153</v>
      </c>
      <c r="D489" s="112"/>
      <c r="E489" s="749"/>
      <c r="F489" s="816"/>
      <c r="G489" s="851" t="s">
        <v>42</v>
      </c>
      <c r="H489" s="113"/>
      <c r="I489" s="64"/>
      <c r="J489" s="88">
        <f t="shared" si="145"/>
        <v>0</v>
      </c>
      <c r="K489" s="833"/>
      <c r="L489" s="304"/>
      <c r="M489" s="219"/>
      <c r="N489" s="50"/>
      <c r="O489" s="76"/>
      <c r="P489" s="52"/>
    </row>
    <row r="490" spans="1:16" ht="16.5" customHeight="1">
      <c r="A490" s="305">
        <v>92</v>
      </c>
      <c r="B490" s="53" t="s">
        <v>1154</v>
      </c>
      <c r="C490" s="135" t="s">
        <v>1155</v>
      </c>
      <c r="D490" s="54" t="s">
        <v>1121</v>
      </c>
      <c r="E490" s="753" t="s">
        <v>47</v>
      </c>
      <c r="F490" s="815"/>
      <c r="G490" s="839" t="s">
        <v>1156</v>
      </c>
      <c r="H490" s="36" t="s">
        <v>39</v>
      </c>
      <c r="I490" s="37">
        <v>35</v>
      </c>
      <c r="J490" s="88">
        <f t="shared" si="145"/>
        <v>0</v>
      </c>
      <c r="K490" s="834"/>
      <c r="L490" s="136">
        <f t="shared" ref="L490:L491" si="146">K490/75</f>
        <v>0</v>
      </c>
      <c r="M490" s="40">
        <f>I490*K490</f>
        <v>0</v>
      </c>
      <c r="N490" s="261">
        <v>21.63</v>
      </c>
      <c r="O490" s="42">
        <f>(K490-N490)/N490</f>
        <v>-1</v>
      </c>
      <c r="P490" s="43">
        <v>21.63</v>
      </c>
    </row>
    <row r="491" spans="1:16" ht="16.5" customHeight="1">
      <c r="A491" s="96"/>
      <c r="B491" s="61"/>
      <c r="C491" s="123" t="s">
        <v>1157</v>
      </c>
      <c r="D491" s="112"/>
      <c r="E491" s="755"/>
      <c r="F491" s="816"/>
      <c r="G491" s="851" t="s">
        <v>42</v>
      </c>
      <c r="H491" s="113"/>
      <c r="I491" s="64"/>
      <c r="J491" s="290"/>
      <c r="K491" s="906"/>
      <c r="L491" s="139">
        <f t="shared" si="146"/>
        <v>0</v>
      </c>
      <c r="M491" s="219"/>
      <c r="N491" s="436"/>
      <c r="O491" s="76"/>
      <c r="P491" s="134">
        <f>P490-2.61</f>
        <v>19.02</v>
      </c>
    </row>
    <row r="492" spans="1:16" ht="16.5" customHeight="1">
      <c r="A492" s="96"/>
      <c r="B492" s="115"/>
      <c r="C492" s="109" t="s">
        <v>1158</v>
      </c>
      <c r="D492" s="110"/>
      <c r="E492" s="754"/>
      <c r="F492" s="817"/>
      <c r="G492" s="852"/>
      <c r="H492" s="46"/>
      <c r="I492" s="47"/>
      <c r="J492" s="181">
        <f t="shared" ref="J492:J497" si="147">(K492*8%)+K492</f>
        <v>0</v>
      </c>
      <c r="K492" s="829"/>
      <c r="L492" s="177"/>
      <c r="M492" s="223"/>
      <c r="N492" s="398"/>
      <c r="O492" s="76"/>
      <c r="P492" s="52"/>
    </row>
    <row r="493" spans="1:16" ht="16.5" customHeight="1">
      <c r="A493" s="226">
        <v>93</v>
      </c>
      <c r="B493" s="546" t="s">
        <v>1159</v>
      </c>
      <c r="C493" s="172" t="s">
        <v>1160</v>
      </c>
      <c r="D493" s="62" t="s">
        <v>210</v>
      </c>
      <c r="E493" s="775"/>
      <c r="F493" s="816"/>
      <c r="G493" s="851" t="s">
        <v>1161</v>
      </c>
      <c r="H493" s="113" t="s">
        <v>39</v>
      </c>
      <c r="I493" s="64">
        <v>15</v>
      </c>
      <c r="J493" s="183">
        <f t="shared" si="147"/>
        <v>0</v>
      </c>
      <c r="K493" s="830"/>
      <c r="L493" s="308">
        <f>K493/188.97</f>
        <v>0</v>
      </c>
      <c r="M493" s="58">
        <f>I493*K493</f>
        <v>0</v>
      </c>
      <c r="N493" s="41">
        <v>33.020000000000003</v>
      </c>
      <c r="O493" s="42">
        <f>(K493-N493)/N493</f>
        <v>-1</v>
      </c>
      <c r="P493" s="43">
        <v>31.49</v>
      </c>
    </row>
    <row r="494" spans="1:16" ht="16.5" customHeight="1">
      <c r="A494" s="31"/>
      <c r="B494" s="545"/>
      <c r="C494" s="109" t="s">
        <v>1162</v>
      </c>
      <c r="D494" s="110"/>
      <c r="E494" s="752"/>
      <c r="F494" s="817"/>
      <c r="G494" s="852" t="s">
        <v>42</v>
      </c>
      <c r="H494" s="46"/>
      <c r="I494" s="47"/>
      <c r="J494" s="38">
        <f t="shared" si="147"/>
        <v>0</v>
      </c>
      <c r="K494" s="797"/>
      <c r="L494" s="309"/>
      <c r="M494" s="89"/>
      <c r="N494" s="50"/>
      <c r="O494" s="76"/>
      <c r="P494" s="52"/>
    </row>
    <row r="495" spans="1:16" ht="16.5" customHeight="1">
      <c r="A495" s="226">
        <v>94</v>
      </c>
      <c r="B495" s="61" t="s">
        <v>1163</v>
      </c>
      <c r="C495" s="172" t="s">
        <v>1164</v>
      </c>
      <c r="D495" s="62" t="s">
        <v>210</v>
      </c>
      <c r="E495" s="756" t="s">
        <v>47</v>
      </c>
      <c r="F495" s="816"/>
      <c r="G495" s="851" t="s">
        <v>1165</v>
      </c>
      <c r="H495" s="113" t="s">
        <v>39</v>
      </c>
      <c r="I495" s="64">
        <v>45</v>
      </c>
      <c r="J495" s="38">
        <f t="shared" si="147"/>
        <v>0</v>
      </c>
      <c r="K495" s="831"/>
      <c r="L495" s="301">
        <f>K495/166</f>
        <v>0</v>
      </c>
      <c r="M495" s="58">
        <f>I495*K495</f>
        <v>0</v>
      </c>
      <c r="N495" s="299">
        <v>32.51</v>
      </c>
      <c r="O495" s="42">
        <f>(K495-N495)/N495</f>
        <v>-1</v>
      </c>
      <c r="P495" s="43">
        <v>30.4</v>
      </c>
    </row>
    <row r="496" spans="1:16" ht="16.5" customHeight="1">
      <c r="A496" s="31"/>
      <c r="B496" s="61"/>
      <c r="C496" s="111" t="s">
        <v>1166</v>
      </c>
      <c r="D496" s="112"/>
      <c r="E496" s="749"/>
      <c r="F496" s="816"/>
      <c r="G496" s="851" t="s">
        <v>42</v>
      </c>
      <c r="H496" s="113"/>
      <c r="I496" s="64"/>
      <c r="J496" s="88">
        <f t="shared" si="147"/>
        <v>0</v>
      </c>
      <c r="K496" s="833"/>
      <c r="L496" s="304"/>
      <c r="M496" s="58"/>
      <c r="N496" s="299"/>
      <c r="O496" s="76"/>
      <c r="P496" s="43"/>
    </row>
    <row r="497" spans="1:16" ht="16.5" customHeight="1">
      <c r="A497" s="305">
        <v>95</v>
      </c>
      <c r="B497" s="544" t="s">
        <v>1167</v>
      </c>
      <c r="C497" s="108" t="s">
        <v>1168</v>
      </c>
      <c r="D497" s="54" t="s">
        <v>1099</v>
      </c>
      <c r="E497" s="753" t="s">
        <v>47</v>
      </c>
      <c r="F497" s="815"/>
      <c r="G497" s="839" t="s">
        <v>1169</v>
      </c>
      <c r="H497" s="36" t="s">
        <v>39</v>
      </c>
      <c r="I497" s="37">
        <v>40</v>
      </c>
      <c r="J497" s="88">
        <f t="shared" si="147"/>
        <v>0</v>
      </c>
      <c r="K497" s="834"/>
      <c r="L497" s="136">
        <f t="shared" ref="L497:L498" si="148">K497/176.95</f>
        <v>0</v>
      </c>
      <c r="M497" s="40">
        <f>I497*K497</f>
        <v>0</v>
      </c>
      <c r="N497" s="261">
        <v>30.41</v>
      </c>
      <c r="O497" s="42">
        <f>(K497-N497)/N497</f>
        <v>-1</v>
      </c>
      <c r="P497" s="43">
        <v>29.45</v>
      </c>
    </row>
    <row r="498" spans="1:16" ht="16.5" customHeight="1">
      <c r="A498" s="96"/>
      <c r="B498" s="545"/>
      <c r="C498" s="289" t="s">
        <v>1170</v>
      </c>
      <c r="D498" s="112"/>
      <c r="E498" s="755"/>
      <c r="F498" s="816"/>
      <c r="G498" s="851" t="s">
        <v>42</v>
      </c>
      <c r="H498" s="113"/>
      <c r="I498" s="64"/>
      <c r="J498" s="290"/>
      <c r="K498" s="906"/>
      <c r="L498" s="139">
        <f t="shared" si="148"/>
        <v>0</v>
      </c>
      <c r="M498" s="58"/>
      <c r="N498" s="306"/>
      <c r="O498" s="76"/>
      <c r="P498" s="134">
        <f>P497-6.08</f>
        <v>23.369999999999997</v>
      </c>
    </row>
    <row r="499" spans="1:16" ht="15.75" customHeight="1">
      <c r="A499" s="305">
        <v>96</v>
      </c>
      <c r="B499" s="53" t="s">
        <v>1171</v>
      </c>
      <c r="C499" s="85" t="s">
        <v>1172</v>
      </c>
      <c r="D499" s="54" t="s">
        <v>1099</v>
      </c>
      <c r="E499" s="753" t="s">
        <v>47</v>
      </c>
      <c r="F499" s="815"/>
      <c r="G499" s="839" t="s">
        <v>1173</v>
      </c>
      <c r="H499" s="36" t="s">
        <v>39</v>
      </c>
      <c r="I499" s="37">
        <v>45</v>
      </c>
      <c r="J499" s="88">
        <f>(K499*8%)+K499</f>
        <v>0</v>
      </c>
      <c r="K499" s="834"/>
      <c r="L499" s="136">
        <f t="shared" ref="L499:L500" si="149">K499/159.6</f>
        <v>0</v>
      </c>
      <c r="M499" s="40">
        <f>(I499*K499)</f>
        <v>0</v>
      </c>
      <c r="N499" s="261">
        <v>28.85</v>
      </c>
      <c r="O499" s="42">
        <f>(K499-N499)/N499</f>
        <v>-1</v>
      </c>
      <c r="P499" s="43">
        <v>27.35</v>
      </c>
    </row>
    <row r="500" spans="1:16" ht="16.5" customHeight="1">
      <c r="A500" s="96"/>
      <c r="B500" s="61"/>
      <c r="C500" s="111" t="s">
        <v>1174</v>
      </c>
      <c r="D500" s="112"/>
      <c r="E500" s="755"/>
      <c r="F500" s="816"/>
      <c r="G500" s="851" t="s">
        <v>442</v>
      </c>
      <c r="H500" s="113"/>
      <c r="I500" s="64"/>
      <c r="J500" s="290"/>
      <c r="K500" s="906"/>
      <c r="L500" s="139">
        <f t="shared" si="149"/>
        <v>0</v>
      </c>
      <c r="M500" s="219"/>
      <c r="N500" s="306"/>
      <c r="O500" s="76"/>
      <c r="P500" s="134">
        <f>P499-6.08</f>
        <v>21.270000000000003</v>
      </c>
    </row>
    <row r="501" spans="1:16" ht="16.5" customHeight="1">
      <c r="A501" s="305">
        <v>97</v>
      </c>
      <c r="B501" s="53" t="s">
        <v>1175</v>
      </c>
      <c r="C501" s="85" t="s">
        <v>1176</v>
      </c>
      <c r="D501" s="54" t="s">
        <v>1177</v>
      </c>
      <c r="E501" s="753" t="s">
        <v>47</v>
      </c>
      <c r="F501" s="815"/>
      <c r="G501" s="839" t="s">
        <v>1178</v>
      </c>
      <c r="H501" s="36" t="s">
        <v>39</v>
      </c>
      <c r="I501" s="37">
        <v>45</v>
      </c>
      <c r="J501" s="88">
        <f>(K501*8%)+K501</f>
        <v>0</v>
      </c>
      <c r="K501" s="834"/>
      <c r="L501" s="136">
        <f t="shared" ref="L501:L502" si="150">K501/106</f>
        <v>0</v>
      </c>
      <c r="M501" s="40">
        <f>I501*K501</f>
        <v>0</v>
      </c>
      <c r="N501" s="261">
        <v>22.16</v>
      </c>
      <c r="O501" s="42">
        <f>(K501-N501)/N501</f>
        <v>-1</v>
      </c>
      <c r="P501" s="43">
        <v>22.36</v>
      </c>
    </row>
    <row r="502" spans="1:16" ht="16.5" customHeight="1">
      <c r="A502" s="96"/>
      <c r="B502" s="115"/>
      <c r="C502" s="109" t="s">
        <v>1179</v>
      </c>
      <c r="D502" s="110"/>
      <c r="E502" s="754"/>
      <c r="F502" s="817"/>
      <c r="G502" s="852" t="s">
        <v>442</v>
      </c>
      <c r="H502" s="46"/>
      <c r="I502" s="47"/>
      <c r="J502" s="181"/>
      <c r="K502" s="835"/>
      <c r="L502" s="156">
        <f t="shared" si="150"/>
        <v>0</v>
      </c>
      <c r="M502" s="223"/>
      <c r="N502" s="306"/>
      <c r="O502" s="76"/>
      <c r="P502" s="134">
        <f>P501-5.07</f>
        <v>17.29</v>
      </c>
    </row>
    <row r="503" spans="1:16" ht="16.5" customHeight="1">
      <c r="A503" s="226">
        <v>98</v>
      </c>
      <c r="B503" s="61" t="s">
        <v>1180</v>
      </c>
      <c r="C503" s="172" t="s">
        <v>1181</v>
      </c>
      <c r="D503" s="62" t="s">
        <v>1182</v>
      </c>
      <c r="E503" s="775" t="s">
        <v>47</v>
      </c>
      <c r="F503" s="816"/>
      <c r="G503" s="851" t="s">
        <v>1183</v>
      </c>
      <c r="H503" s="113" t="s">
        <v>39</v>
      </c>
      <c r="I503" s="64">
        <v>24</v>
      </c>
      <c r="J503" s="183">
        <f t="shared" ref="J503:J505" si="151">(K503*8%)+K503</f>
        <v>0</v>
      </c>
      <c r="K503" s="830"/>
      <c r="L503" s="308">
        <f>K503/60.9</f>
        <v>0</v>
      </c>
      <c r="M503" s="58">
        <f>I503*K503</f>
        <v>0</v>
      </c>
      <c r="N503" s="41">
        <v>32.35</v>
      </c>
      <c r="O503" s="42">
        <f>(K503-N503)/N503</f>
        <v>-1</v>
      </c>
      <c r="P503" s="43">
        <v>32.35</v>
      </c>
    </row>
    <row r="504" spans="1:16" ht="16.5" customHeight="1">
      <c r="A504" s="454"/>
      <c r="B504" s="61"/>
      <c r="C504" s="172" t="s">
        <v>1184</v>
      </c>
      <c r="D504" s="112"/>
      <c r="E504" s="756"/>
      <c r="F504" s="816"/>
      <c r="G504" s="851" t="s">
        <v>42</v>
      </c>
      <c r="H504" s="113"/>
      <c r="I504" s="64"/>
      <c r="J504" s="38">
        <f t="shared" si="151"/>
        <v>0</v>
      </c>
      <c r="K504" s="831"/>
      <c r="L504" s="301"/>
      <c r="M504" s="219"/>
      <c r="N504" s="299"/>
      <c r="O504" s="76"/>
      <c r="P504" s="43"/>
    </row>
    <row r="505" spans="1:16" ht="16.5" customHeight="1">
      <c r="A505" s="31"/>
      <c r="B505" s="115"/>
      <c r="C505" s="109" t="s">
        <v>1185</v>
      </c>
      <c r="D505" s="110"/>
      <c r="E505" s="752"/>
      <c r="F505" s="817"/>
      <c r="G505" s="852"/>
      <c r="H505" s="46"/>
      <c r="I505" s="47"/>
      <c r="J505" s="88">
        <f t="shared" si="151"/>
        <v>0</v>
      </c>
      <c r="K505" s="797"/>
      <c r="L505" s="309"/>
      <c r="M505" s="223"/>
      <c r="N505" s="50"/>
      <c r="O505" s="455" t="s">
        <v>1186</v>
      </c>
      <c r="P505" s="52"/>
    </row>
    <row r="506" spans="1:16" ht="30" customHeight="1">
      <c r="A506" s="246"/>
      <c r="B506" s="562" t="s">
        <v>1187</v>
      </c>
      <c r="C506" s="542"/>
      <c r="D506" s="542"/>
      <c r="E506" s="542"/>
      <c r="F506" s="542"/>
      <c r="G506" s="542"/>
      <c r="H506" s="542"/>
      <c r="I506" s="542"/>
      <c r="J506" s="456"/>
      <c r="K506" s="563">
        <f>SUM(M342:M505)</f>
        <v>0</v>
      </c>
      <c r="L506" s="542"/>
      <c r="M506" s="543"/>
      <c r="N506" s="243"/>
      <c r="O506" s="457">
        <f>SUM(O342:O505)/79</f>
        <v>-0.98734177215189878</v>
      </c>
      <c r="P506" s="458"/>
    </row>
    <row r="507" spans="1:16" ht="30" customHeight="1">
      <c r="A507" s="459"/>
      <c r="B507" s="541" t="s">
        <v>1188</v>
      </c>
      <c r="C507" s="542"/>
      <c r="D507" s="542"/>
      <c r="E507" s="542"/>
      <c r="F507" s="542"/>
      <c r="G507" s="542"/>
      <c r="H507" s="542"/>
      <c r="I507" s="542"/>
      <c r="J507" s="542"/>
      <c r="K507" s="542"/>
      <c r="L507" s="542"/>
      <c r="M507" s="543"/>
      <c r="N507" s="243"/>
      <c r="O507" s="460"/>
      <c r="P507" s="461"/>
    </row>
    <row r="508" spans="1:16" ht="16.5" customHeight="1">
      <c r="A508" s="31">
        <v>1</v>
      </c>
      <c r="B508" s="198" t="s">
        <v>1189</v>
      </c>
      <c r="C508" s="355" t="s">
        <v>1190</v>
      </c>
      <c r="D508" s="34" t="s">
        <v>1191</v>
      </c>
      <c r="E508" s="878" t="s">
        <v>1192</v>
      </c>
      <c r="F508" s="740"/>
      <c r="G508" s="839" t="s">
        <v>1193</v>
      </c>
      <c r="H508" s="36" t="s">
        <v>39</v>
      </c>
      <c r="I508" s="37">
        <v>205</v>
      </c>
      <c r="J508" s="88">
        <f>(K508*8%)+K508</f>
        <v>0</v>
      </c>
      <c r="K508" s="286"/>
      <c r="L508" s="317">
        <f t="shared" ref="L508:L509" si="152">K508/100</f>
        <v>0</v>
      </c>
      <c r="M508" s="186">
        <f>I508*K508</f>
        <v>0</v>
      </c>
      <c r="N508" s="261">
        <v>27.25</v>
      </c>
      <c r="O508" s="42">
        <f>(K508-N508)/N508</f>
        <v>-1</v>
      </c>
      <c r="P508" s="43">
        <v>27.95</v>
      </c>
    </row>
    <row r="509" spans="1:16" ht="16.5" customHeight="1">
      <c r="A509" s="31"/>
      <c r="B509" s="354"/>
      <c r="C509" s="343"/>
      <c r="D509" s="394"/>
      <c r="E509" s="880"/>
      <c r="F509" s="742"/>
      <c r="G509" s="852" t="s">
        <v>1194</v>
      </c>
      <c r="H509" s="46"/>
      <c r="I509" s="47"/>
      <c r="J509" s="181"/>
      <c r="K509" s="835"/>
      <c r="L509" s="462">
        <f t="shared" si="152"/>
        <v>0</v>
      </c>
      <c r="M509" s="189"/>
      <c r="N509" s="436"/>
      <c r="O509" s="76"/>
      <c r="P509" s="134">
        <f>P508-7.61</f>
        <v>20.34</v>
      </c>
    </row>
    <row r="510" spans="1:16" ht="16.5" customHeight="1">
      <c r="A510" s="73">
        <v>2</v>
      </c>
      <c r="B510" s="53" t="s">
        <v>1195</v>
      </c>
      <c r="C510" s="343"/>
      <c r="D510" s="56" t="s">
        <v>1196</v>
      </c>
      <c r="E510" s="754"/>
      <c r="F510" s="742"/>
      <c r="G510" s="852" t="s">
        <v>1197</v>
      </c>
      <c r="H510" s="46" t="s">
        <v>39</v>
      </c>
      <c r="I510" s="47">
        <v>66</v>
      </c>
      <c r="J510" s="183">
        <f t="shared" ref="J510:J524" si="153">(K510*8%)+K510</f>
        <v>0</v>
      </c>
      <c r="K510" s="829"/>
      <c r="L510" s="463">
        <f t="shared" ref="L510:L511" si="154">K510/125</f>
        <v>0</v>
      </c>
      <c r="M510" s="189">
        <f t="shared" ref="M510:M515" si="155">I510*K510</f>
        <v>0</v>
      </c>
      <c r="N510" s="50">
        <v>33.450000000000003</v>
      </c>
      <c r="O510" s="42">
        <f t="shared" ref="O510:O517" si="156">(K510-N510)/N510</f>
        <v>-1</v>
      </c>
      <c r="P510" s="52">
        <v>33.4</v>
      </c>
    </row>
    <row r="511" spans="1:16" ht="16.5" customHeight="1">
      <c r="A511" s="73">
        <v>3</v>
      </c>
      <c r="B511" s="119" t="s">
        <v>1198</v>
      </c>
      <c r="C511" s="464"/>
      <c r="D511" s="319" t="s">
        <v>1196</v>
      </c>
      <c r="E511" s="757"/>
      <c r="F511" s="758"/>
      <c r="G511" s="854" t="s">
        <v>1199</v>
      </c>
      <c r="H511" s="120" t="s">
        <v>39</v>
      </c>
      <c r="I511" s="121">
        <v>74</v>
      </c>
      <c r="J511" s="38">
        <f t="shared" si="153"/>
        <v>0</v>
      </c>
      <c r="K511" s="905"/>
      <c r="L511" s="321">
        <f t="shared" si="154"/>
        <v>0</v>
      </c>
      <c r="M511" s="163">
        <f t="shared" si="155"/>
        <v>0</v>
      </c>
      <c r="N511" s="386">
        <v>29.95</v>
      </c>
      <c r="O511" s="42">
        <f t="shared" si="156"/>
        <v>-1</v>
      </c>
      <c r="P511" s="43">
        <v>29.42</v>
      </c>
    </row>
    <row r="512" spans="1:16" ht="16.5" customHeight="1">
      <c r="A512" s="73">
        <v>4</v>
      </c>
      <c r="B512" s="53" t="s">
        <v>1200</v>
      </c>
      <c r="C512" s="355" t="s">
        <v>1201</v>
      </c>
      <c r="D512" s="34" t="s">
        <v>1202</v>
      </c>
      <c r="E512" s="876"/>
      <c r="F512" s="740"/>
      <c r="G512" s="839" t="s">
        <v>1203</v>
      </c>
      <c r="H512" s="36" t="s">
        <v>39</v>
      </c>
      <c r="I512" s="37">
        <v>135</v>
      </c>
      <c r="J512" s="38">
        <f t="shared" si="153"/>
        <v>0</v>
      </c>
      <c r="K512" s="796"/>
      <c r="L512" s="434">
        <f>K512/95</f>
        <v>0</v>
      </c>
      <c r="M512" s="40">
        <f t="shared" si="155"/>
        <v>0</v>
      </c>
      <c r="N512" s="41">
        <v>22.26</v>
      </c>
      <c r="O512" s="42">
        <f t="shared" si="156"/>
        <v>-1</v>
      </c>
      <c r="P512" s="43">
        <v>22.59</v>
      </c>
    </row>
    <row r="513" spans="1:16" ht="36" customHeight="1">
      <c r="A513" s="73">
        <v>5</v>
      </c>
      <c r="B513" s="465" t="s">
        <v>1204</v>
      </c>
      <c r="C513" s="466" t="s">
        <v>1205</v>
      </c>
      <c r="D513" s="34" t="s">
        <v>1206</v>
      </c>
      <c r="E513" s="909"/>
      <c r="F513" s="910"/>
      <c r="G513" s="911"/>
      <c r="H513" s="467"/>
      <c r="I513" s="468">
        <v>77</v>
      </c>
      <c r="J513" s="88">
        <f t="shared" si="153"/>
        <v>0</v>
      </c>
      <c r="K513" s="914"/>
      <c r="L513" s="469">
        <f>K513/65</f>
        <v>0</v>
      </c>
      <c r="M513" s="470">
        <f t="shared" si="155"/>
        <v>0</v>
      </c>
      <c r="N513" s="471">
        <v>40.75</v>
      </c>
      <c r="O513" s="42">
        <f t="shared" si="156"/>
        <v>-1</v>
      </c>
      <c r="P513" s="337">
        <v>20.75</v>
      </c>
    </row>
    <row r="514" spans="1:16" ht="16.5" customHeight="1">
      <c r="A514" s="90">
        <v>6</v>
      </c>
      <c r="B514" s="53" t="s">
        <v>1207</v>
      </c>
      <c r="C514" s="165" t="s">
        <v>1208</v>
      </c>
      <c r="D514" s="54" t="s">
        <v>835</v>
      </c>
      <c r="E514" s="753"/>
      <c r="F514" s="740"/>
      <c r="G514" s="839" t="s">
        <v>995</v>
      </c>
      <c r="H514" s="36" t="s">
        <v>39</v>
      </c>
      <c r="I514" s="37">
        <v>175</v>
      </c>
      <c r="J514" s="88">
        <f t="shared" si="153"/>
        <v>0</v>
      </c>
      <c r="K514" s="834"/>
      <c r="L514" s="317">
        <f>K514/152</f>
        <v>0</v>
      </c>
      <c r="M514" s="40">
        <f t="shared" si="155"/>
        <v>0</v>
      </c>
      <c r="N514" s="261">
        <v>21.2</v>
      </c>
      <c r="O514" s="42">
        <f t="shared" si="156"/>
        <v>-1</v>
      </c>
      <c r="P514" s="43">
        <v>20.149999999999999</v>
      </c>
    </row>
    <row r="515" spans="1:16" ht="16.5" customHeight="1">
      <c r="A515" s="305">
        <v>7</v>
      </c>
      <c r="B515" s="115"/>
      <c r="C515" s="339" t="s">
        <v>1209</v>
      </c>
      <c r="D515" s="56" t="s">
        <v>1210</v>
      </c>
      <c r="E515" s="754"/>
      <c r="F515" s="742"/>
      <c r="G515" s="852" t="s">
        <v>1211</v>
      </c>
      <c r="H515" s="46"/>
      <c r="I515" s="47">
        <v>10</v>
      </c>
      <c r="J515" s="181">
        <f t="shared" si="153"/>
        <v>0</v>
      </c>
      <c r="K515" s="829"/>
      <c r="L515" s="463">
        <f>K515/38</f>
        <v>0</v>
      </c>
      <c r="M515" s="89">
        <f t="shared" si="155"/>
        <v>0</v>
      </c>
      <c r="N515" s="398">
        <v>7.11</v>
      </c>
      <c r="O515" s="42">
        <f t="shared" si="156"/>
        <v>-1</v>
      </c>
      <c r="P515" s="43">
        <v>6.56</v>
      </c>
    </row>
    <row r="516" spans="1:16" ht="16.5" customHeight="1">
      <c r="A516" s="305">
        <v>8</v>
      </c>
      <c r="B516" s="61" t="s">
        <v>1212</v>
      </c>
      <c r="C516" s="229" t="s">
        <v>1213</v>
      </c>
      <c r="D516" s="62" t="s">
        <v>944</v>
      </c>
      <c r="E516" s="775"/>
      <c r="F516" s="750"/>
      <c r="G516" s="851" t="s">
        <v>1214</v>
      </c>
      <c r="H516" s="113" t="s">
        <v>39</v>
      </c>
      <c r="I516" s="64">
        <v>120</v>
      </c>
      <c r="J516" s="183">
        <f t="shared" si="153"/>
        <v>0</v>
      </c>
      <c r="K516" s="830"/>
      <c r="L516" s="297">
        <f>K516/200</f>
        <v>0</v>
      </c>
      <c r="M516" s="58">
        <f t="shared" ref="M516:M517" si="157">(I516*L516)</f>
        <v>0</v>
      </c>
      <c r="N516" s="41">
        <v>25.5</v>
      </c>
      <c r="O516" s="42">
        <f t="shared" si="156"/>
        <v>-1</v>
      </c>
      <c r="P516" s="43">
        <v>24.5</v>
      </c>
    </row>
    <row r="517" spans="1:16" ht="16.5" customHeight="1">
      <c r="A517" s="305">
        <v>9</v>
      </c>
      <c r="B517" s="61"/>
      <c r="C517" s="229" t="s">
        <v>1215</v>
      </c>
      <c r="D517" s="62" t="s">
        <v>1216</v>
      </c>
      <c r="E517" s="756"/>
      <c r="F517" s="750"/>
      <c r="G517" s="851" t="s">
        <v>1217</v>
      </c>
      <c r="H517" s="113" t="s">
        <v>39</v>
      </c>
      <c r="I517" s="64">
        <v>275</v>
      </c>
      <c r="J517" s="38">
        <f t="shared" si="153"/>
        <v>0</v>
      </c>
      <c r="K517" s="831"/>
      <c r="L517" s="298">
        <f>K517/36</f>
        <v>0</v>
      </c>
      <c r="M517" s="58">
        <f t="shared" si="157"/>
        <v>0</v>
      </c>
      <c r="N517" s="299">
        <v>7.48</v>
      </c>
      <c r="O517" s="42">
        <f t="shared" si="156"/>
        <v>-1</v>
      </c>
      <c r="P517" s="43">
        <v>7.1</v>
      </c>
    </row>
    <row r="518" spans="1:16" ht="16.5" customHeight="1">
      <c r="A518" s="96"/>
      <c r="B518" s="115"/>
      <c r="C518" s="328"/>
      <c r="D518" s="110"/>
      <c r="E518" s="752"/>
      <c r="F518" s="742"/>
      <c r="G518" s="852" t="s">
        <v>42</v>
      </c>
      <c r="H518" s="46"/>
      <c r="I518" s="47"/>
      <c r="J518" s="127">
        <f t="shared" si="153"/>
        <v>0</v>
      </c>
      <c r="K518" s="797"/>
      <c r="L518" s="472"/>
      <c r="M518" s="89"/>
      <c r="N518" s="408"/>
      <c r="O518" s="51"/>
      <c r="P518" s="52"/>
    </row>
    <row r="519" spans="1:16" ht="16.5" customHeight="1">
      <c r="A519" s="226">
        <v>10</v>
      </c>
      <c r="B519" s="61" t="s">
        <v>1218</v>
      </c>
      <c r="C519" s="229" t="s">
        <v>1219</v>
      </c>
      <c r="D519" s="62" t="s">
        <v>1220</v>
      </c>
      <c r="E519" s="775"/>
      <c r="F519" s="750"/>
      <c r="G519" s="851" t="s">
        <v>1221</v>
      </c>
      <c r="H519" s="113" t="s">
        <v>39</v>
      </c>
      <c r="I519" s="64">
        <v>25</v>
      </c>
      <c r="J519" s="38">
        <f t="shared" si="153"/>
        <v>0</v>
      </c>
      <c r="K519" s="830"/>
      <c r="L519" s="297">
        <f>K519/96</f>
        <v>0</v>
      </c>
      <c r="M519" s="58">
        <f>(I519*L519)</f>
        <v>0</v>
      </c>
      <c r="N519" s="299">
        <v>23.2</v>
      </c>
      <c r="O519" s="42">
        <f>(K519-N519)/N519</f>
        <v>-1</v>
      </c>
      <c r="P519" s="43">
        <v>19.2</v>
      </c>
    </row>
    <row r="520" spans="1:16" ht="16.5" customHeight="1">
      <c r="A520" s="31"/>
      <c r="B520" s="61"/>
      <c r="C520" s="313" t="s">
        <v>1222</v>
      </c>
      <c r="D520" s="112"/>
      <c r="E520" s="752"/>
      <c r="F520" s="742"/>
      <c r="G520" s="852"/>
      <c r="H520" s="46"/>
      <c r="I520" s="47"/>
      <c r="J520" s="38">
        <f t="shared" si="153"/>
        <v>0</v>
      </c>
      <c r="K520" s="797"/>
      <c r="L520" s="472"/>
      <c r="M520" s="89"/>
      <c r="N520" s="50"/>
      <c r="O520" s="51"/>
      <c r="P520" s="43"/>
    </row>
    <row r="521" spans="1:16" ht="16.5" customHeight="1">
      <c r="A521" s="226">
        <v>11</v>
      </c>
      <c r="B521" s="53" t="s">
        <v>1223</v>
      </c>
      <c r="C521" s="342" t="s">
        <v>1224</v>
      </c>
      <c r="D521" s="54" t="s">
        <v>1225</v>
      </c>
      <c r="E521" s="748"/>
      <c r="F521" s="740"/>
      <c r="G521" s="839" t="s">
        <v>1211</v>
      </c>
      <c r="H521" s="36" t="s">
        <v>39</v>
      </c>
      <c r="I521" s="37">
        <v>200</v>
      </c>
      <c r="J521" s="38">
        <f t="shared" si="153"/>
        <v>0</v>
      </c>
      <c r="K521" s="796"/>
      <c r="L521" s="434">
        <f>K521/152</f>
        <v>0</v>
      </c>
      <c r="M521" s="40" t="s">
        <v>230</v>
      </c>
      <c r="N521" s="41">
        <v>16.399999999999999</v>
      </c>
      <c r="O521" s="42">
        <f>(K521-N521)/N521</f>
        <v>-1</v>
      </c>
      <c r="P521" s="43">
        <v>15.75</v>
      </c>
    </row>
    <row r="522" spans="1:16" ht="16.5" customHeight="1">
      <c r="A522" s="31"/>
      <c r="B522" s="115"/>
      <c r="C522" s="339" t="s">
        <v>1226</v>
      </c>
      <c r="D522" s="110"/>
      <c r="E522" s="752"/>
      <c r="F522" s="742"/>
      <c r="G522" s="852"/>
      <c r="H522" s="46"/>
      <c r="I522" s="47"/>
      <c r="J522" s="38">
        <f t="shared" si="153"/>
        <v>0</v>
      </c>
      <c r="K522" s="797"/>
      <c r="L522" s="472"/>
      <c r="M522" s="89"/>
      <c r="N522" s="50"/>
      <c r="O522" s="76"/>
      <c r="P522" s="43"/>
    </row>
    <row r="523" spans="1:16" ht="16.5" customHeight="1">
      <c r="A523" s="226">
        <v>12</v>
      </c>
      <c r="B523" s="53" t="s">
        <v>1227</v>
      </c>
      <c r="C523" s="85" t="s">
        <v>1228</v>
      </c>
      <c r="D523" s="54" t="s">
        <v>92</v>
      </c>
      <c r="E523" s="748"/>
      <c r="F523" s="740"/>
      <c r="G523" s="839" t="s">
        <v>1211</v>
      </c>
      <c r="H523" s="36" t="s">
        <v>39</v>
      </c>
      <c r="I523" s="37">
        <v>202</v>
      </c>
      <c r="J523" s="38">
        <f t="shared" si="153"/>
        <v>0</v>
      </c>
      <c r="K523" s="796"/>
      <c r="L523" s="434">
        <f>K523/60</f>
        <v>0</v>
      </c>
      <c r="M523" s="186">
        <f>I523*K523</f>
        <v>0</v>
      </c>
      <c r="N523" s="41">
        <v>8.61</v>
      </c>
      <c r="O523" s="42">
        <f>(K523-N523)/N523</f>
        <v>-1</v>
      </c>
      <c r="P523" s="43">
        <v>9.94</v>
      </c>
    </row>
    <row r="524" spans="1:16" ht="16.5" customHeight="1">
      <c r="A524" s="31"/>
      <c r="B524" s="115"/>
      <c r="C524" s="109" t="s">
        <v>1229</v>
      </c>
      <c r="D524" s="110"/>
      <c r="E524" s="752"/>
      <c r="F524" s="742"/>
      <c r="G524" s="852"/>
      <c r="H524" s="46"/>
      <c r="I524" s="47"/>
      <c r="J524" s="38">
        <f t="shared" si="153"/>
        <v>0</v>
      </c>
      <c r="K524" s="797"/>
      <c r="L524" s="472"/>
      <c r="M524" s="189"/>
      <c r="N524" s="50"/>
      <c r="O524" s="76"/>
      <c r="P524" s="43"/>
    </row>
    <row r="525" spans="1:16" ht="16.5" customHeight="1">
      <c r="A525" s="226">
        <v>13</v>
      </c>
      <c r="B525" s="61" t="s">
        <v>1230</v>
      </c>
      <c r="C525" s="172" t="s">
        <v>1231</v>
      </c>
      <c r="D525" s="62" t="s">
        <v>1232</v>
      </c>
      <c r="E525" s="756"/>
      <c r="F525" s="747"/>
      <c r="G525" s="851" t="s">
        <v>1233</v>
      </c>
      <c r="H525" s="36" t="s">
        <v>39</v>
      </c>
      <c r="I525" s="64">
        <v>20</v>
      </c>
      <c r="J525" s="38"/>
      <c r="K525" s="831"/>
      <c r="L525" s="298"/>
      <c r="M525" s="58"/>
      <c r="N525" s="299">
        <v>51.76</v>
      </c>
      <c r="O525" s="76"/>
      <c r="P525" s="52"/>
    </row>
    <row r="526" spans="1:16" ht="16.5" customHeight="1">
      <c r="A526" s="31"/>
      <c r="B526" s="61"/>
      <c r="C526" s="179"/>
      <c r="D526" s="112"/>
      <c r="E526" s="749"/>
      <c r="F526" s="912"/>
      <c r="G526" s="851"/>
      <c r="H526" s="113"/>
      <c r="I526" s="64"/>
      <c r="J526" s="88"/>
      <c r="K526" s="833"/>
      <c r="L526" s="473"/>
      <c r="M526" s="58"/>
      <c r="N526" s="299"/>
      <c r="O526" s="76"/>
      <c r="P526" s="52"/>
    </row>
    <row r="527" spans="1:16" ht="16.5" customHeight="1">
      <c r="A527" s="305">
        <v>14</v>
      </c>
      <c r="B527" s="53" t="s">
        <v>1234</v>
      </c>
      <c r="C527" s="135" t="s">
        <v>1235</v>
      </c>
      <c r="D527" s="54" t="s">
        <v>1236</v>
      </c>
      <c r="E527" s="753"/>
      <c r="F527" s="740"/>
      <c r="G527" s="839" t="s">
        <v>1237</v>
      </c>
      <c r="H527" s="36" t="s">
        <v>39</v>
      </c>
      <c r="I527" s="37">
        <v>16</v>
      </c>
      <c r="J527" s="88">
        <f t="shared" ref="J527:J556" si="158">(K527*8%)+K527</f>
        <v>0</v>
      </c>
      <c r="K527" s="834"/>
      <c r="L527" s="317">
        <f>K527/30</f>
        <v>0</v>
      </c>
      <c r="M527" s="40">
        <f>K527*I527</f>
        <v>0</v>
      </c>
      <c r="N527" s="261">
        <v>5.98</v>
      </c>
      <c r="O527" s="42">
        <f t="shared" ref="O527:O532" si="159">(K527-N527)/N527</f>
        <v>-1</v>
      </c>
      <c r="P527" s="43">
        <v>4.6900000000000004</v>
      </c>
    </row>
    <row r="528" spans="1:16" ht="16.5" customHeight="1" thickBot="1">
      <c r="A528" s="305">
        <v>15</v>
      </c>
      <c r="B528" s="61"/>
      <c r="C528" s="313" t="s">
        <v>1238</v>
      </c>
      <c r="D528" s="62" t="s">
        <v>1239</v>
      </c>
      <c r="E528" s="755"/>
      <c r="F528" s="750"/>
      <c r="G528" s="851" t="s">
        <v>1240</v>
      </c>
      <c r="H528" s="113" t="s">
        <v>39</v>
      </c>
      <c r="I528" s="64">
        <v>90</v>
      </c>
      <c r="J528" s="290">
        <f t="shared" si="158"/>
        <v>0</v>
      </c>
      <c r="K528" s="828"/>
      <c r="L528" s="474">
        <f>K528/120</f>
        <v>0</v>
      </c>
      <c r="M528" s="187">
        <f t="shared" ref="M528:M531" si="160">I528*K528</f>
        <v>0</v>
      </c>
      <c r="N528" s="398">
        <v>16.75</v>
      </c>
      <c r="O528" s="42">
        <f t="shared" si="159"/>
        <v>-1</v>
      </c>
      <c r="P528" s="43">
        <v>12.75</v>
      </c>
    </row>
    <row r="529" spans="1:16" ht="16.5" customHeight="1">
      <c r="A529" s="305">
        <v>16</v>
      </c>
      <c r="B529" s="53" t="s">
        <v>1241</v>
      </c>
      <c r="C529" s="165" t="s">
        <v>1242</v>
      </c>
      <c r="D529" s="54" t="s">
        <v>1243</v>
      </c>
      <c r="E529" s="753"/>
      <c r="F529" s="740"/>
      <c r="G529" s="839" t="s">
        <v>1244</v>
      </c>
      <c r="H529" s="36" t="s">
        <v>39</v>
      </c>
      <c r="I529" s="37">
        <v>20</v>
      </c>
      <c r="J529" s="88">
        <f t="shared" si="158"/>
        <v>0</v>
      </c>
      <c r="K529" s="834"/>
      <c r="L529" s="317">
        <f>K529/18</f>
        <v>0</v>
      </c>
      <c r="M529" s="40">
        <f t="shared" si="160"/>
        <v>0</v>
      </c>
      <c r="N529" s="261">
        <v>44.7</v>
      </c>
      <c r="O529" s="42">
        <f t="shared" si="159"/>
        <v>-1</v>
      </c>
      <c r="P529" s="43">
        <v>24.2</v>
      </c>
    </row>
    <row r="530" spans="1:16" ht="16.5" customHeight="1">
      <c r="A530" s="305">
        <v>17</v>
      </c>
      <c r="B530" s="115"/>
      <c r="C530" s="230" t="s">
        <v>1245</v>
      </c>
      <c r="D530" s="56" t="s">
        <v>1243</v>
      </c>
      <c r="E530" s="754"/>
      <c r="F530" s="742"/>
      <c r="G530" s="852" t="s">
        <v>1246</v>
      </c>
      <c r="H530" s="46"/>
      <c r="I530" s="47">
        <v>90</v>
      </c>
      <c r="J530" s="181">
        <f t="shared" si="158"/>
        <v>0</v>
      </c>
      <c r="K530" s="829"/>
      <c r="L530" s="294" t="s">
        <v>33</v>
      </c>
      <c r="M530" s="89">
        <f t="shared" si="160"/>
        <v>0</v>
      </c>
      <c r="N530" s="398">
        <v>28.65</v>
      </c>
      <c r="O530" s="42">
        <f t="shared" si="159"/>
        <v>-1</v>
      </c>
      <c r="P530" s="43">
        <v>27.7</v>
      </c>
    </row>
    <row r="531" spans="1:16" ht="16.5" customHeight="1">
      <c r="A531" s="226">
        <v>18</v>
      </c>
      <c r="B531" s="115" t="s">
        <v>1247</v>
      </c>
      <c r="C531" s="109" t="s">
        <v>1248</v>
      </c>
      <c r="D531" s="56" t="s">
        <v>1249</v>
      </c>
      <c r="E531" s="754"/>
      <c r="F531" s="742"/>
      <c r="G531" s="852" t="s">
        <v>1250</v>
      </c>
      <c r="H531" s="46" t="s">
        <v>39</v>
      </c>
      <c r="I531" s="47">
        <v>11</v>
      </c>
      <c r="J531" s="181">
        <f t="shared" si="158"/>
        <v>0</v>
      </c>
      <c r="K531" s="829"/>
      <c r="L531" s="463">
        <f t="shared" ref="L531:L532" si="161">K531/48</f>
        <v>0</v>
      </c>
      <c r="M531" s="189">
        <f t="shared" si="160"/>
        <v>0</v>
      </c>
      <c r="N531" s="386">
        <v>28.65</v>
      </c>
      <c r="O531" s="42">
        <f t="shared" si="159"/>
        <v>-1</v>
      </c>
      <c r="P531" s="43">
        <v>20.5</v>
      </c>
    </row>
    <row r="532" spans="1:16" ht="16.5" customHeight="1">
      <c r="A532" s="226">
        <v>19</v>
      </c>
      <c r="B532" s="61" t="s">
        <v>1251</v>
      </c>
      <c r="C532" s="229" t="s">
        <v>1252</v>
      </c>
      <c r="D532" s="62" t="s">
        <v>1236</v>
      </c>
      <c r="E532" s="748"/>
      <c r="F532" s="750"/>
      <c r="G532" s="851" t="s">
        <v>1221</v>
      </c>
      <c r="H532" s="113" t="s">
        <v>39</v>
      </c>
      <c r="I532" s="64">
        <v>10</v>
      </c>
      <c r="J532" s="38">
        <f t="shared" si="158"/>
        <v>0</v>
      </c>
      <c r="K532" s="830"/>
      <c r="L532" s="297">
        <f t="shared" si="161"/>
        <v>0</v>
      </c>
      <c r="M532" s="58">
        <f>(I532*K532)</f>
        <v>0</v>
      </c>
      <c r="N532" s="299">
        <v>17.7</v>
      </c>
      <c r="O532" s="42">
        <f t="shared" si="159"/>
        <v>-1</v>
      </c>
      <c r="P532" s="43">
        <v>17.899999999999999</v>
      </c>
    </row>
    <row r="533" spans="1:16" ht="16.5" customHeight="1">
      <c r="A533" s="31"/>
      <c r="B533" s="61"/>
      <c r="C533" s="313" t="s">
        <v>1253</v>
      </c>
      <c r="D533" s="112"/>
      <c r="E533" s="756"/>
      <c r="F533" s="750"/>
      <c r="G533" s="851"/>
      <c r="H533" s="113"/>
      <c r="I533" s="64"/>
      <c r="J533" s="38">
        <f t="shared" si="158"/>
        <v>0</v>
      </c>
      <c r="K533" s="831"/>
      <c r="L533" s="298"/>
      <c r="M533" s="58"/>
      <c r="N533" s="299"/>
      <c r="O533" s="51"/>
      <c r="P533" s="43"/>
    </row>
    <row r="534" spans="1:16" ht="16.5" customHeight="1">
      <c r="A534" s="226">
        <v>20</v>
      </c>
      <c r="B534" s="53" t="s">
        <v>1254</v>
      </c>
      <c r="C534" s="475" t="s">
        <v>1255</v>
      </c>
      <c r="D534" s="54" t="s">
        <v>1256</v>
      </c>
      <c r="E534" s="748"/>
      <c r="F534" s="740"/>
      <c r="G534" s="839" t="s">
        <v>1221</v>
      </c>
      <c r="H534" s="36" t="s">
        <v>39</v>
      </c>
      <c r="I534" s="37">
        <v>24</v>
      </c>
      <c r="J534" s="38">
        <f t="shared" si="158"/>
        <v>0</v>
      </c>
      <c r="K534" s="796"/>
      <c r="L534" s="434">
        <f>K534/36</f>
        <v>0</v>
      </c>
      <c r="M534" s="40">
        <f>(I534*K534)</f>
        <v>0</v>
      </c>
      <c r="N534" s="41">
        <v>21.49</v>
      </c>
      <c r="O534" s="42">
        <f>(K534-N534)/N534</f>
        <v>-1</v>
      </c>
      <c r="P534" s="43">
        <v>10.99</v>
      </c>
    </row>
    <row r="535" spans="1:16" ht="16.5" customHeight="1">
      <c r="A535" s="31"/>
      <c r="B535" s="115"/>
      <c r="C535" s="126" t="s">
        <v>1257</v>
      </c>
      <c r="D535" s="110"/>
      <c r="E535" s="752"/>
      <c r="F535" s="742"/>
      <c r="G535" s="852"/>
      <c r="H535" s="46"/>
      <c r="I535" s="47"/>
      <c r="J535" s="38">
        <f t="shared" si="158"/>
        <v>0</v>
      </c>
      <c r="K535" s="797"/>
      <c r="L535" s="472"/>
      <c r="M535" s="89"/>
      <c r="N535" s="50"/>
      <c r="O535" s="51"/>
      <c r="P535" s="43"/>
    </row>
    <row r="536" spans="1:16" ht="16.5" customHeight="1">
      <c r="A536" s="226">
        <v>21</v>
      </c>
      <c r="B536" s="53" t="s">
        <v>1258</v>
      </c>
      <c r="C536" s="114" t="s">
        <v>1259</v>
      </c>
      <c r="D536" s="54" t="s">
        <v>1260</v>
      </c>
      <c r="E536" s="748"/>
      <c r="F536" s="740"/>
      <c r="G536" s="839" t="s">
        <v>1221</v>
      </c>
      <c r="H536" s="36" t="s">
        <v>39</v>
      </c>
      <c r="I536" s="37">
        <v>10</v>
      </c>
      <c r="J536" s="38">
        <f t="shared" si="158"/>
        <v>0</v>
      </c>
      <c r="K536" s="796"/>
      <c r="L536" s="434">
        <f>K536/50</f>
        <v>0</v>
      </c>
      <c r="M536" s="40">
        <f>(I536*K536)</f>
        <v>0</v>
      </c>
      <c r="N536" s="41">
        <v>38.950000000000003</v>
      </c>
      <c r="O536" s="42">
        <f>(K536-N536)/N536</f>
        <v>-1</v>
      </c>
      <c r="P536" s="43">
        <v>29.25</v>
      </c>
    </row>
    <row r="537" spans="1:16" ht="16.5" customHeight="1">
      <c r="A537" s="31"/>
      <c r="B537" s="115"/>
      <c r="C537" s="126" t="s">
        <v>1261</v>
      </c>
      <c r="D537" s="110"/>
      <c r="E537" s="752"/>
      <c r="F537" s="742"/>
      <c r="G537" s="852"/>
      <c r="H537" s="46"/>
      <c r="I537" s="47"/>
      <c r="J537" s="38">
        <f t="shared" si="158"/>
        <v>0</v>
      </c>
      <c r="K537" s="797"/>
      <c r="L537" s="472"/>
      <c r="M537" s="89"/>
      <c r="N537" s="50"/>
      <c r="O537" s="76"/>
      <c r="P537" s="43"/>
    </row>
    <row r="538" spans="1:16" ht="16.5" customHeight="1">
      <c r="A538" s="226">
        <v>22</v>
      </c>
      <c r="B538" s="61" t="s">
        <v>1262</v>
      </c>
      <c r="C538" s="476" t="s">
        <v>1263</v>
      </c>
      <c r="D538" s="62" t="s">
        <v>37</v>
      </c>
      <c r="E538" s="748"/>
      <c r="F538" s="740"/>
      <c r="G538" s="851" t="s">
        <v>1264</v>
      </c>
      <c r="H538" s="113" t="s">
        <v>104</v>
      </c>
      <c r="I538" s="64">
        <v>20</v>
      </c>
      <c r="J538" s="38">
        <f t="shared" si="158"/>
        <v>0</v>
      </c>
      <c r="K538" s="831"/>
      <c r="L538" s="298">
        <f>K538/5</f>
        <v>0</v>
      </c>
      <c r="M538" s="58">
        <f>I538*K538</f>
        <v>0</v>
      </c>
      <c r="N538" s="299">
        <v>8.98</v>
      </c>
      <c r="O538" s="42">
        <f>(K538-N538)/N538</f>
        <v>-1</v>
      </c>
      <c r="P538" s="43">
        <v>10.4</v>
      </c>
    </row>
    <row r="539" spans="1:16" ht="16.5" customHeight="1">
      <c r="A539" s="31"/>
      <c r="B539" s="61"/>
      <c r="C539" s="313"/>
      <c r="D539" s="112"/>
      <c r="E539" s="752"/>
      <c r="F539" s="742"/>
      <c r="G539" s="851" t="s">
        <v>42</v>
      </c>
      <c r="H539" s="113"/>
      <c r="I539" s="64"/>
      <c r="J539" s="38">
        <f t="shared" si="158"/>
        <v>0</v>
      </c>
      <c r="K539" s="831"/>
      <c r="L539" s="298" t="s">
        <v>33</v>
      </c>
      <c r="M539" s="58"/>
      <c r="N539" s="299"/>
      <c r="O539" s="76"/>
      <c r="P539" s="43"/>
    </row>
    <row r="540" spans="1:16" ht="27.75" customHeight="1">
      <c r="A540" s="226">
        <v>23</v>
      </c>
      <c r="B540" s="119" t="s">
        <v>1265</v>
      </c>
      <c r="C540" s="477" t="s">
        <v>1266</v>
      </c>
      <c r="D540" s="478" t="s">
        <v>1267</v>
      </c>
      <c r="E540" s="881"/>
      <c r="F540" s="758"/>
      <c r="G540" s="854" t="s">
        <v>1268</v>
      </c>
      <c r="H540" s="120" t="s">
        <v>39</v>
      </c>
      <c r="I540" s="121">
        <v>122</v>
      </c>
      <c r="J540" s="38">
        <f t="shared" si="158"/>
        <v>0</v>
      </c>
      <c r="K540" s="905"/>
      <c r="L540" s="321">
        <f>K540/138</f>
        <v>0</v>
      </c>
      <c r="M540" s="122">
        <f>I540*K540</f>
        <v>0</v>
      </c>
      <c r="N540" s="386">
        <v>32.75</v>
      </c>
      <c r="O540" s="42">
        <f t="shared" ref="O540:O541" si="162">(K540-N540)/N540</f>
        <v>-1</v>
      </c>
      <c r="P540" s="43">
        <v>22</v>
      </c>
    </row>
    <row r="541" spans="1:16" ht="16.5" customHeight="1">
      <c r="A541" s="226">
        <v>24</v>
      </c>
      <c r="B541" s="61" t="s">
        <v>1269</v>
      </c>
      <c r="C541" s="123" t="s">
        <v>1270</v>
      </c>
      <c r="D541" s="62" t="s">
        <v>1271</v>
      </c>
      <c r="E541" s="775"/>
      <c r="F541" s="750"/>
      <c r="G541" s="851" t="s">
        <v>1272</v>
      </c>
      <c r="H541" s="113" t="s">
        <v>39</v>
      </c>
      <c r="I541" s="64">
        <v>10</v>
      </c>
      <c r="J541" s="38">
        <f t="shared" si="158"/>
        <v>0</v>
      </c>
      <c r="K541" s="831"/>
      <c r="L541" s="298">
        <f>K541/56</f>
        <v>0</v>
      </c>
      <c r="M541" s="187">
        <f>K541*I541</f>
        <v>0</v>
      </c>
      <c r="N541" s="299">
        <v>31</v>
      </c>
      <c r="O541" s="42">
        <f t="shared" si="162"/>
        <v>-1</v>
      </c>
      <c r="P541" s="43">
        <v>32.75</v>
      </c>
    </row>
    <row r="542" spans="1:16" ht="16.5" customHeight="1">
      <c r="A542" s="31"/>
      <c r="B542" s="61"/>
      <c r="C542" s="313" t="s">
        <v>1273</v>
      </c>
      <c r="D542" s="112"/>
      <c r="E542" s="756"/>
      <c r="F542" s="750"/>
      <c r="G542" s="851" t="s">
        <v>42</v>
      </c>
      <c r="H542" s="113"/>
      <c r="I542" s="64"/>
      <c r="J542" s="38">
        <f t="shared" si="158"/>
        <v>0</v>
      </c>
      <c r="K542" s="831"/>
      <c r="L542" s="404"/>
      <c r="M542" s="219"/>
      <c r="N542" s="299"/>
      <c r="O542" s="51"/>
      <c r="P542" s="43"/>
    </row>
    <row r="543" spans="1:16" ht="16.5" customHeight="1">
      <c r="A543" s="226">
        <v>25</v>
      </c>
      <c r="B543" s="53" t="s">
        <v>1274</v>
      </c>
      <c r="C543" s="165" t="s">
        <v>1275</v>
      </c>
      <c r="D543" s="54" t="s">
        <v>1196</v>
      </c>
      <c r="E543" s="748"/>
      <c r="F543" s="740"/>
      <c r="G543" s="839" t="s">
        <v>885</v>
      </c>
      <c r="H543" s="36" t="s">
        <v>39</v>
      </c>
      <c r="I543" s="37">
        <v>130</v>
      </c>
      <c r="J543" s="38">
        <f t="shared" si="158"/>
        <v>0</v>
      </c>
      <c r="K543" s="796"/>
      <c r="L543" s="300">
        <f>K543/100</f>
        <v>0</v>
      </c>
      <c r="M543" s="40">
        <f>K543*I543</f>
        <v>0</v>
      </c>
      <c r="N543" s="41">
        <v>36.450000000000003</v>
      </c>
      <c r="O543" s="42">
        <f>(K543-N543)/N543</f>
        <v>-1</v>
      </c>
      <c r="P543" s="43">
        <v>31.75</v>
      </c>
    </row>
    <row r="544" spans="1:16" ht="16.5" customHeight="1">
      <c r="A544" s="31"/>
      <c r="B544" s="115"/>
      <c r="C544" s="222"/>
      <c r="D544" s="110"/>
      <c r="E544" s="752"/>
      <c r="F544" s="742"/>
      <c r="G544" s="852" t="s">
        <v>1276</v>
      </c>
      <c r="H544" s="46"/>
      <c r="I544" s="47"/>
      <c r="J544" s="38">
        <f t="shared" si="158"/>
        <v>0</v>
      </c>
      <c r="K544" s="797"/>
      <c r="L544" s="309" t="s">
        <v>1277</v>
      </c>
      <c r="M544" s="89"/>
      <c r="N544" s="50"/>
      <c r="O544" s="76"/>
      <c r="P544" s="43"/>
    </row>
    <row r="545" spans="1:16" ht="16.5" customHeight="1">
      <c r="A545" s="226">
        <v>26</v>
      </c>
      <c r="B545" s="53" t="s">
        <v>1278</v>
      </c>
      <c r="C545" s="114" t="s">
        <v>1279</v>
      </c>
      <c r="D545" s="54" t="s">
        <v>1280</v>
      </c>
      <c r="E545" s="748"/>
      <c r="F545" s="740"/>
      <c r="G545" s="839" t="s">
        <v>1272</v>
      </c>
      <c r="H545" s="36" t="s">
        <v>39</v>
      </c>
      <c r="I545" s="37">
        <v>10</v>
      </c>
      <c r="J545" s="38">
        <f t="shared" si="158"/>
        <v>0</v>
      </c>
      <c r="K545" s="796"/>
      <c r="L545" s="434">
        <f>K545/60</f>
        <v>0</v>
      </c>
      <c r="M545" s="40">
        <f>(I545*K545)</f>
        <v>0</v>
      </c>
      <c r="N545" s="41">
        <v>39.4</v>
      </c>
      <c r="O545" s="42">
        <f>(K545-N545)/N545</f>
        <v>-1</v>
      </c>
      <c r="P545" s="43">
        <v>32.450000000000003</v>
      </c>
    </row>
    <row r="546" spans="1:16" ht="16.5" customHeight="1">
      <c r="A546" s="31"/>
      <c r="B546" s="115"/>
      <c r="C546" s="126" t="s">
        <v>1281</v>
      </c>
      <c r="D546" s="110"/>
      <c r="E546" s="752"/>
      <c r="F546" s="742"/>
      <c r="G546" s="852" t="s">
        <v>42</v>
      </c>
      <c r="H546" s="46"/>
      <c r="I546" s="47"/>
      <c r="J546" s="38">
        <f t="shared" si="158"/>
        <v>0</v>
      </c>
      <c r="K546" s="797"/>
      <c r="L546" s="472"/>
      <c r="M546" s="89"/>
      <c r="N546" s="50"/>
      <c r="O546" s="76"/>
      <c r="P546" s="43"/>
    </row>
    <row r="547" spans="1:16" ht="16.5" customHeight="1">
      <c r="A547" s="226">
        <v>27</v>
      </c>
      <c r="B547" s="53" t="s">
        <v>1282</v>
      </c>
      <c r="C547" s="135" t="s">
        <v>1283</v>
      </c>
      <c r="D547" s="54" t="s">
        <v>92</v>
      </c>
      <c r="E547" s="748"/>
      <c r="F547" s="750"/>
      <c r="G547" s="851" t="s">
        <v>1284</v>
      </c>
      <c r="H547" s="113" t="s">
        <v>1285</v>
      </c>
      <c r="I547" s="64">
        <v>65</v>
      </c>
      <c r="J547" s="38">
        <f t="shared" si="158"/>
        <v>0</v>
      </c>
      <c r="K547" s="831"/>
      <c r="L547" s="301">
        <f>K547/5</f>
        <v>0</v>
      </c>
      <c r="M547" s="58">
        <f t="shared" ref="M547:M548" si="163">I547*K547</f>
        <v>0</v>
      </c>
      <c r="N547" s="299">
        <v>6.46</v>
      </c>
      <c r="O547" s="42">
        <f t="shared" ref="O547:O550" si="164">(K547-N547)/N547</f>
        <v>-1</v>
      </c>
      <c r="P547" s="43">
        <v>6.23</v>
      </c>
    </row>
    <row r="548" spans="1:16" ht="24">
      <c r="A548" s="226">
        <v>28</v>
      </c>
      <c r="B548" s="119" t="s">
        <v>1286</v>
      </c>
      <c r="C548" s="161" t="s">
        <v>1287</v>
      </c>
      <c r="D548" s="478" t="s">
        <v>435</v>
      </c>
      <c r="E548" s="881"/>
      <c r="F548" s="758"/>
      <c r="G548" s="913" t="s">
        <v>1288</v>
      </c>
      <c r="H548" s="120" t="s">
        <v>330</v>
      </c>
      <c r="I548" s="121">
        <v>190</v>
      </c>
      <c r="J548" s="38">
        <f t="shared" si="158"/>
        <v>0</v>
      </c>
      <c r="K548" s="905"/>
      <c r="L548" s="315">
        <f>K548/12</f>
        <v>0</v>
      </c>
      <c r="M548" s="122">
        <f t="shared" si="163"/>
        <v>0</v>
      </c>
      <c r="N548" s="386">
        <v>16.3</v>
      </c>
      <c r="O548" s="42">
        <f t="shared" si="164"/>
        <v>-1</v>
      </c>
      <c r="P548" s="43">
        <v>16.3</v>
      </c>
    </row>
    <row r="549" spans="1:16" ht="15.75">
      <c r="A549" s="226">
        <v>29</v>
      </c>
      <c r="B549" s="61" t="s">
        <v>1289</v>
      </c>
      <c r="C549" s="123" t="s">
        <v>1290</v>
      </c>
      <c r="D549" s="62" t="s">
        <v>1291</v>
      </c>
      <c r="E549" s="756"/>
      <c r="F549" s="750"/>
      <c r="G549" s="851" t="s">
        <v>1292</v>
      </c>
      <c r="H549" s="113" t="s">
        <v>39</v>
      </c>
      <c r="I549" s="64">
        <v>23</v>
      </c>
      <c r="J549" s="38">
        <f t="shared" si="158"/>
        <v>0</v>
      </c>
      <c r="K549" s="831"/>
      <c r="L549" s="301">
        <f>K549/3</f>
        <v>0</v>
      </c>
      <c r="M549" s="58">
        <f t="shared" ref="M549:M550" si="165">K549*I549</f>
        <v>0</v>
      </c>
      <c r="N549" s="299">
        <v>6.77</v>
      </c>
      <c r="O549" s="42">
        <f t="shared" si="164"/>
        <v>-1</v>
      </c>
      <c r="P549" s="43">
        <v>5.08</v>
      </c>
    </row>
    <row r="550" spans="1:16" ht="16.5" customHeight="1">
      <c r="A550" s="226">
        <v>30</v>
      </c>
      <c r="B550" s="53" t="s">
        <v>1293</v>
      </c>
      <c r="C550" s="135" t="s">
        <v>1294</v>
      </c>
      <c r="D550" s="54" t="s">
        <v>1295</v>
      </c>
      <c r="E550" s="748"/>
      <c r="F550" s="740"/>
      <c r="G550" s="839" t="s">
        <v>1296</v>
      </c>
      <c r="H550" s="36" t="s">
        <v>39</v>
      </c>
      <c r="I550" s="37">
        <v>20</v>
      </c>
      <c r="J550" s="38">
        <f t="shared" si="158"/>
        <v>0</v>
      </c>
      <c r="K550" s="796"/>
      <c r="L550" s="300">
        <f>K550/64</f>
        <v>0</v>
      </c>
      <c r="M550" s="40">
        <f t="shared" si="165"/>
        <v>0</v>
      </c>
      <c r="N550" s="41">
        <v>11.15</v>
      </c>
      <c r="O550" s="42">
        <f t="shared" si="164"/>
        <v>-1</v>
      </c>
      <c r="P550" s="43">
        <v>11.1</v>
      </c>
    </row>
    <row r="551" spans="1:16" ht="16.5" customHeight="1">
      <c r="A551" s="31"/>
      <c r="B551" s="115"/>
      <c r="C551" s="138"/>
      <c r="D551" s="110"/>
      <c r="E551" s="752"/>
      <c r="F551" s="742"/>
      <c r="G551" s="852"/>
      <c r="H551" s="46"/>
      <c r="I551" s="47"/>
      <c r="J551" s="38">
        <f t="shared" si="158"/>
        <v>0</v>
      </c>
      <c r="K551" s="797"/>
      <c r="L551" s="309" t="s">
        <v>123</v>
      </c>
      <c r="M551" s="89"/>
      <c r="N551" s="50"/>
      <c r="O551" s="76"/>
      <c r="P551" s="43"/>
    </row>
    <row r="552" spans="1:16" ht="16.5" customHeight="1">
      <c r="A552" s="226">
        <v>31</v>
      </c>
      <c r="B552" s="53" t="s">
        <v>1297</v>
      </c>
      <c r="C552" s="108" t="s">
        <v>1298</v>
      </c>
      <c r="D552" s="54" t="s">
        <v>1299</v>
      </c>
      <c r="E552" s="748"/>
      <c r="F552" s="740"/>
      <c r="G552" s="839" t="s">
        <v>854</v>
      </c>
      <c r="H552" s="36" t="s">
        <v>39</v>
      </c>
      <c r="I552" s="37">
        <v>63</v>
      </c>
      <c r="J552" s="38">
        <f t="shared" si="158"/>
        <v>0</v>
      </c>
      <c r="K552" s="796"/>
      <c r="L552" s="300">
        <f>K552/8</f>
        <v>0</v>
      </c>
      <c r="M552" s="40">
        <f>I552*K552</f>
        <v>0</v>
      </c>
      <c r="N552" s="41">
        <v>22.75</v>
      </c>
      <c r="O552" s="42">
        <f>(K552-N552)/N552</f>
        <v>-1</v>
      </c>
      <c r="P552" s="43">
        <v>15.75</v>
      </c>
    </row>
    <row r="553" spans="1:16" ht="16.5" customHeight="1">
      <c r="A553" s="31"/>
      <c r="B553" s="115"/>
      <c r="C553" s="109" t="s">
        <v>1300</v>
      </c>
      <c r="D553" s="110"/>
      <c r="E553" s="752"/>
      <c r="F553" s="742"/>
      <c r="G553" s="852" t="s">
        <v>1301</v>
      </c>
      <c r="H553" s="46"/>
      <c r="I553" s="47"/>
      <c r="J553" s="38">
        <f t="shared" si="158"/>
        <v>0</v>
      </c>
      <c r="K553" s="797"/>
      <c r="L553" s="309" t="s">
        <v>1302</v>
      </c>
      <c r="M553" s="89"/>
      <c r="N553" s="50"/>
      <c r="O553" s="51"/>
      <c r="P553" s="43"/>
    </row>
    <row r="554" spans="1:16" ht="16.5" customHeight="1">
      <c r="A554" s="226">
        <v>32</v>
      </c>
      <c r="B554" s="53" t="s">
        <v>1303</v>
      </c>
      <c r="C554" s="161" t="s">
        <v>1304</v>
      </c>
      <c r="D554" s="319" t="s">
        <v>37</v>
      </c>
      <c r="E554" s="757"/>
      <c r="F554" s="758"/>
      <c r="G554" s="854" t="s">
        <v>1221</v>
      </c>
      <c r="H554" s="120" t="s">
        <v>39</v>
      </c>
      <c r="I554" s="121">
        <v>75</v>
      </c>
      <c r="J554" s="38">
        <f t="shared" si="158"/>
        <v>0</v>
      </c>
      <c r="K554" s="905"/>
      <c r="L554" s="315">
        <f>K554/10</f>
        <v>0</v>
      </c>
      <c r="M554" s="122">
        <f t="shared" ref="M554:M556" si="166">I554*K554</f>
        <v>0</v>
      </c>
      <c r="N554" s="386">
        <v>14.62</v>
      </c>
      <c r="O554" s="42">
        <f t="shared" ref="O554:O556" si="167">(K554-N554)/N554</f>
        <v>-1</v>
      </c>
      <c r="P554" s="43">
        <v>11.95</v>
      </c>
    </row>
    <row r="555" spans="1:16" ht="16.5" customHeight="1">
      <c r="A555" s="226">
        <v>33</v>
      </c>
      <c r="B555" s="61"/>
      <c r="C555" s="479" t="s">
        <v>1305</v>
      </c>
      <c r="D555" s="319" t="s">
        <v>92</v>
      </c>
      <c r="E555" s="757"/>
      <c r="F555" s="758"/>
      <c r="G555" s="854"/>
      <c r="H555" s="120" t="s">
        <v>39</v>
      </c>
      <c r="I555" s="121">
        <v>128</v>
      </c>
      <c r="J555" s="38">
        <f t="shared" si="158"/>
        <v>0</v>
      </c>
      <c r="K555" s="905"/>
      <c r="L555" s="315">
        <f>K555/5</f>
        <v>0</v>
      </c>
      <c r="M555" s="122">
        <f t="shared" si="166"/>
        <v>0</v>
      </c>
      <c r="N555" s="386">
        <v>10.8</v>
      </c>
      <c r="O555" s="42">
        <f t="shared" si="167"/>
        <v>-1</v>
      </c>
      <c r="P555" s="43">
        <v>8.0500000000000007</v>
      </c>
    </row>
    <row r="556" spans="1:16" ht="16.5" customHeight="1">
      <c r="A556" s="226">
        <v>34</v>
      </c>
      <c r="B556" s="119" t="s">
        <v>1306</v>
      </c>
      <c r="C556" s="161" t="s">
        <v>1307</v>
      </c>
      <c r="D556" s="319" t="s">
        <v>1308</v>
      </c>
      <c r="E556" s="757"/>
      <c r="F556" s="758"/>
      <c r="G556" s="854" t="s">
        <v>1309</v>
      </c>
      <c r="H556" s="120" t="s">
        <v>99</v>
      </c>
      <c r="I556" s="121">
        <v>25</v>
      </c>
      <c r="J556" s="38">
        <f t="shared" si="158"/>
        <v>0</v>
      </c>
      <c r="K556" s="905"/>
      <c r="L556" s="315">
        <f>K556/40</f>
        <v>0</v>
      </c>
      <c r="M556" s="122">
        <f t="shared" si="166"/>
        <v>0</v>
      </c>
      <c r="N556" s="386">
        <v>7.5</v>
      </c>
      <c r="O556" s="42">
        <f t="shared" si="167"/>
        <v>-1</v>
      </c>
      <c r="P556" s="43">
        <v>7.32</v>
      </c>
    </row>
    <row r="557" spans="1:16" ht="15.75">
      <c r="A557" s="480"/>
      <c r="B557" s="568" t="s">
        <v>1310</v>
      </c>
      <c r="C557" s="542"/>
      <c r="D557" s="542"/>
      <c r="E557" s="569"/>
      <c r="F557" s="481"/>
      <c r="G557" s="564" t="s">
        <v>1311</v>
      </c>
      <c r="H557" s="542"/>
      <c r="I557" s="542"/>
      <c r="J557" s="542"/>
      <c r="K557" s="542"/>
      <c r="L557" s="542"/>
      <c r="M557" s="543"/>
      <c r="N557" s="482"/>
      <c r="O557" s="483"/>
      <c r="P557" s="43"/>
    </row>
    <row r="558" spans="1:16" ht="16.5" customHeight="1">
      <c r="A558" s="305">
        <v>35</v>
      </c>
      <c r="B558" s="119"/>
      <c r="C558" s="314" t="s">
        <v>1312</v>
      </c>
      <c r="D558" s="484" t="s">
        <v>1313</v>
      </c>
      <c r="E558" s="915"/>
      <c r="F558" s="758"/>
      <c r="G558" s="913" t="s">
        <v>1314</v>
      </c>
      <c r="H558" s="36" t="s">
        <v>39</v>
      </c>
      <c r="I558" s="320">
        <v>40</v>
      </c>
      <c r="J558" s="38">
        <f t="shared" ref="J558:J561" si="168">(K558*8%)+K558</f>
        <v>0</v>
      </c>
      <c r="K558" s="905"/>
      <c r="L558" s="321">
        <f t="shared" ref="L558:L561" si="169">K558/48</f>
        <v>0</v>
      </c>
      <c r="M558" s="163">
        <f t="shared" ref="M558:M561" si="170">K558*I558</f>
        <v>0</v>
      </c>
      <c r="N558" s="485">
        <v>28</v>
      </c>
      <c r="O558" s="42">
        <f t="shared" ref="O558:O561" si="171">(K558-N558)/N558</f>
        <v>-1</v>
      </c>
      <c r="P558" s="43">
        <v>27.6</v>
      </c>
    </row>
    <row r="559" spans="1:16" ht="16.5" customHeight="1">
      <c r="A559" s="305">
        <v>36</v>
      </c>
      <c r="B559" s="115"/>
      <c r="C559" s="314" t="s">
        <v>1315</v>
      </c>
      <c r="D559" s="484" t="s">
        <v>1313</v>
      </c>
      <c r="E559" s="915"/>
      <c r="F559" s="758"/>
      <c r="G559" s="913" t="s">
        <v>1316</v>
      </c>
      <c r="H559" s="36" t="s">
        <v>39</v>
      </c>
      <c r="I559" s="320">
        <v>18</v>
      </c>
      <c r="J559" s="38">
        <f t="shared" si="168"/>
        <v>0</v>
      </c>
      <c r="K559" s="905"/>
      <c r="L559" s="321">
        <f t="shared" si="169"/>
        <v>0</v>
      </c>
      <c r="M559" s="163">
        <f t="shared" si="170"/>
        <v>0</v>
      </c>
      <c r="N559" s="485">
        <v>42.6</v>
      </c>
      <c r="O559" s="42">
        <f t="shared" si="171"/>
        <v>-1</v>
      </c>
      <c r="P559" s="43">
        <v>41.7</v>
      </c>
    </row>
    <row r="560" spans="1:16" ht="16.5" customHeight="1">
      <c r="A560" s="348">
        <v>37</v>
      </c>
      <c r="B560" s="115"/>
      <c r="C560" s="314" t="s">
        <v>1317</v>
      </c>
      <c r="D560" s="484" t="s">
        <v>1313</v>
      </c>
      <c r="E560" s="915"/>
      <c r="F560" s="758"/>
      <c r="G560" s="913" t="s">
        <v>1318</v>
      </c>
      <c r="H560" s="36" t="s">
        <v>39</v>
      </c>
      <c r="I560" s="320">
        <v>17</v>
      </c>
      <c r="J560" s="38">
        <f t="shared" si="168"/>
        <v>0</v>
      </c>
      <c r="K560" s="905"/>
      <c r="L560" s="321">
        <f t="shared" si="169"/>
        <v>0</v>
      </c>
      <c r="M560" s="163">
        <f t="shared" si="170"/>
        <v>0</v>
      </c>
      <c r="N560" s="485">
        <v>36.4</v>
      </c>
      <c r="O560" s="42">
        <f t="shared" si="171"/>
        <v>-1</v>
      </c>
      <c r="P560" s="43">
        <v>36.4</v>
      </c>
    </row>
    <row r="561" spans="1:16" ht="16.5" customHeight="1">
      <c r="A561" s="348">
        <v>38</v>
      </c>
      <c r="B561" s="115"/>
      <c r="C561" s="314" t="s">
        <v>1319</v>
      </c>
      <c r="D561" s="484" t="s">
        <v>1313</v>
      </c>
      <c r="E561" s="915"/>
      <c r="F561" s="758"/>
      <c r="G561" s="913" t="s">
        <v>1320</v>
      </c>
      <c r="H561" s="120" t="s">
        <v>39</v>
      </c>
      <c r="I561" s="320">
        <v>18</v>
      </c>
      <c r="J561" s="127">
        <f t="shared" si="168"/>
        <v>0</v>
      </c>
      <c r="K561" s="905"/>
      <c r="L561" s="321">
        <f t="shared" si="169"/>
        <v>0</v>
      </c>
      <c r="M561" s="163">
        <f t="shared" si="170"/>
        <v>0</v>
      </c>
      <c r="N561" s="485">
        <v>25.95</v>
      </c>
      <c r="O561" s="42">
        <f t="shared" si="171"/>
        <v>-1</v>
      </c>
      <c r="P561" s="43">
        <v>25.95</v>
      </c>
    </row>
    <row r="562" spans="1:16" ht="16.5" customHeight="1">
      <c r="A562" s="486"/>
      <c r="B562" s="565" t="s">
        <v>1321</v>
      </c>
      <c r="C562" s="552"/>
      <c r="D562" s="552"/>
      <c r="E562" s="552"/>
      <c r="F562" s="552"/>
      <c r="G562" s="552"/>
      <c r="H562" s="552"/>
      <c r="I562" s="552"/>
      <c r="J562" s="552"/>
      <c r="K562" s="552"/>
      <c r="L562" s="552"/>
      <c r="M562" s="553"/>
      <c r="O562" s="455" t="s">
        <v>1186</v>
      </c>
      <c r="P562" s="487"/>
    </row>
    <row r="563" spans="1:16" ht="30" customHeight="1">
      <c r="A563" s="488"/>
      <c r="B563" s="560" t="s">
        <v>1322</v>
      </c>
      <c r="C563" s="561"/>
      <c r="D563" s="561"/>
      <c r="E563" s="561"/>
      <c r="F563" s="561"/>
      <c r="G563" s="561"/>
      <c r="H563" s="561"/>
      <c r="I563" s="561"/>
      <c r="J563" s="489"/>
      <c r="K563" s="566">
        <f>SUM(M508:M561)</f>
        <v>0</v>
      </c>
      <c r="L563" s="561"/>
      <c r="M563" s="567"/>
      <c r="N563" s="243"/>
      <c r="O563" s="490">
        <f>SUM(O508:O561)/39</f>
        <v>-0.94871794871794868</v>
      </c>
      <c r="P563" s="458"/>
    </row>
    <row r="564" spans="1:16" ht="30" customHeight="1">
      <c r="A564" s="246"/>
      <c r="B564" s="541" t="s">
        <v>1323</v>
      </c>
      <c r="C564" s="542"/>
      <c r="D564" s="542"/>
      <c r="E564" s="542"/>
      <c r="F564" s="542"/>
      <c r="G564" s="542"/>
      <c r="H564" s="542"/>
      <c r="I564" s="542"/>
      <c r="J564" s="542"/>
      <c r="K564" s="542"/>
      <c r="L564" s="542"/>
      <c r="M564" s="543"/>
      <c r="N564" s="243"/>
      <c r="O564" s="375"/>
      <c r="P564" s="376"/>
    </row>
    <row r="565" spans="1:16" ht="16.5" customHeight="1">
      <c r="A565" s="31">
        <v>1</v>
      </c>
      <c r="B565" s="61" t="s">
        <v>1324</v>
      </c>
      <c r="C565" s="165" t="s">
        <v>1325</v>
      </c>
      <c r="D565" s="54" t="s">
        <v>1326</v>
      </c>
      <c r="E565" s="748"/>
      <c r="F565" s="740"/>
      <c r="G565" s="839" t="s">
        <v>1327</v>
      </c>
      <c r="H565" s="36" t="s">
        <v>39</v>
      </c>
      <c r="I565" s="169">
        <v>24</v>
      </c>
      <c r="J565" s="38"/>
      <c r="K565" s="807"/>
      <c r="L565" s="300">
        <f>K565/36</f>
        <v>0</v>
      </c>
      <c r="M565" s="40">
        <f>I565*K565</f>
        <v>0</v>
      </c>
      <c r="N565" s="55">
        <v>80.12</v>
      </c>
      <c r="O565" s="76"/>
      <c r="P565" s="52"/>
    </row>
    <row r="566" spans="1:16" ht="24.75">
      <c r="A566" s="31">
        <v>2</v>
      </c>
      <c r="B566" s="119" t="s">
        <v>1328</v>
      </c>
      <c r="C566" s="491" t="s">
        <v>1329</v>
      </c>
      <c r="D566" s="54" t="s">
        <v>1131</v>
      </c>
      <c r="E566" s="748"/>
      <c r="F566" s="760"/>
      <c r="G566" s="839" t="s">
        <v>1330</v>
      </c>
      <c r="H566" s="36" t="s">
        <v>39</v>
      </c>
      <c r="I566" s="37">
        <v>10</v>
      </c>
      <c r="J566" s="38"/>
      <c r="K566" s="837"/>
      <c r="L566" s="300">
        <f>K566/6</f>
        <v>0</v>
      </c>
      <c r="M566" s="40">
        <f>K566*I566</f>
        <v>0</v>
      </c>
      <c r="N566" s="55">
        <v>46.29</v>
      </c>
      <c r="O566" s="76"/>
      <c r="P566" s="52"/>
    </row>
    <row r="567" spans="1:16" ht="16.5" customHeight="1">
      <c r="A567" s="31">
        <v>3</v>
      </c>
      <c r="B567" s="53" t="s">
        <v>1331</v>
      </c>
      <c r="C567" s="165" t="s">
        <v>1332</v>
      </c>
      <c r="D567" s="54" t="s">
        <v>1206</v>
      </c>
      <c r="E567" s="748"/>
      <c r="F567" s="740"/>
      <c r="G567" s="839" t="s">
        <v>1333</v>
      </c>
      <c r="H567" s="36" t="s">
        <v>39</v>
      </c>
      <c r="I567" s="37">
        <v>4</v>
      </c>
      <c r="J567" s="38">
        <f t="shared" ref="J567:J568" si="172">(K567*8%)+K567</f>
        <v>0</v>
      </c>
      <c r="K567" s="837"/>
      <c r="L567" s="300">
        <f>K567/25</f>
        <v>0</v>
      </c>
      <c r="M567" s="40">
        <f t="shared" ref="M567:M568" si="173">I567*K567</f>
        <v>0</v>
      </c>
      <c r="N567" s="55">
        <v>36.979999999999997</v>
      </c>
      <c r="O567" s="42">
        <f t="shared" ref="O567:O568" si="174">(K567-N567)/N567</f>
        <v>-1</v>
      </c>
      <c r="P567" s="43">
        <v>36.49</v>
      </c>
    </row>
    <row r="568" spans="1:16" ht="16.5" customHeight="1">
      <c r="A568" s="31">
        <v>4</v>
      </c>
      <c r="B568" s="119" t="s">
        <v>1334</v>
      </c>
      <c r="C568" s="492" t="s">
        <v>1335</v>
      </c>
      <c r="D568" s="319" t="s">
        <v>92</v>
      </c>
      <c r="E568" s="757"/>
      <c r="F568" s="758"/>
      <c r="G568" s="854" t="s">
        <v>1336</v>
      </c>
      <c r="H568" s="120" t="s">
        <v>39</v>
      </c>
      <c r="I568" s="121">
        <v>8</v>
      </c>
      <c r="J568" s="38">
        <f t="shared" si="172"/>
        <v>0</v>
      </c>
      <c r="K568" s="837"/>
      <c r="L568" s="315">
        <f>K568/5</f>
        <v>0</v>
      </c>
      <c r="M568" s="122">
        <f t="shared" si="173"/>
        <v>0</v>
      </c>
      <c r="N568" s="55">
        <v>16.87</v>
      </c>
      <c r="O568" s="42">
        <f t="shared" si="174"/>
        <v>-1</v>
      </c>
      <c r="P568" s="43">
        <v>14.08</v>
      </c>
    </row>
    <row r="569" spans="1:16" ht="16.5" customHeight="1">
      <c r="A569" s="31">
        <v>5</v>
      </c>
      <c r="B569" s="119" t="s">
        <v>1337</v>
      </c>
      <c r="C569" s="161" t="s">
        <v>1338</v>
      </c>
      <c r="D569" s="478" t="s">
        <v>210</v>
      </c>
      <c r="E569" s="881"/>
      <c r="F569" s="758"/>
      <c r="G569" s="849" t="s">
        <v>1339</v>
      </c>
      <c r="H569" s="401" t="s">
        <v>39</v>
      </c>
      <c r="I569" s="121">
        <v>5</v>
      </c>
      <c r="J569" s="127"/>
      <c r="K569" s="837"/>
      <c r="L569" s="315"/>
      <c r="M569" s="122"/>
      <c r="N569" s="55">
        <v>17.3</v>
      </c>
      <c r="O569" s="76"/>
      <c r="P569" s="52"/>
    </row>
    <row r="570" spans="1:16" ht="16.5" customHeight="1">
      <c r="A570" s="31">
        <v>6</v>
      </c>
      <c r="B570" s="61" t="s">
        <v>1340</v>
      </c>
      <c r="C570" s="172" t="s">
        <v>1341</v>
      </c>
      <c r="D570" s="45" t="s">
        <v>1342</v>
      </c>
      <c r="E570" s="877"/>
      <c r="F570" s="750"/>
      <c r="G570" s="840" t="s">
        <v>1343</v>
      </c>
      <c r="H570" s="493" t="s">
        <v>1285</v>
      </c>
      <c r="I570" s="64">
        <v>10</v>
      </c>
      <c r="J570" s="38">
        <f t="shared" ref="J570:J603" si="175">(K570*8%)+K570</f>
        <v>0</v>
      </c>
      <c r="K570" s="837"/>
      <c r="L570" s="301">
        <f>K570/50</f>
        <v>0</v>
      </c>
      <c r="M570" s="58">
        <f>K570*10</f>
        <v>0</v>
      </c>
      <c r="N570" s="55">
        <v>24.78</v>
      </c>
      <c r="O570" s="42">
        <f t="shared" ref="O570:O571" si="176">(K570-N570)/N570</f>
        <v>-1</v>
      </c>
      <c r="P570" s="43">
        <v>23.79</v>
      </c>
    </row>
    <row r="571" spans="1:16" ht="15.75">
      <c r="A571" s="226">
        <v>7</v>
      </c>
      <c r="B571" s="544" t="s">
        <v>1344</v>
      </c>
      <c r="C571" s="165" t="s">
        <v>1345</v>
      </c>
      <c r="D571" s="225"/>
      <c r="E571" s="748"/>
      <c r="F571" s="740"/>
      <c r="G571" s="839" t="s">
        <v>1346</v>
      </c>
      <c r="H571" s="36" t="s">
        <v>591</v>
      </c>
      <c r="I571" s="169">
        <v>11</v>
      </c>
      <c r="J571" s="38">
        <f t="shared" si="175"/>
        <v>0</v>
      </c>
      <c r="K571" s="805"/>
      <c r="L571" s="300"/>
      <c r="M571" s="40">
        <f>I571*K571</f>
        <v>0</v>
      </c>
      <c r="N571" s="55">
        <v>39</v>
      </c>
      <c r="O571" s="42">
        <f t="shared" si="176"/>
        <v>-1</v>
      </c>
      <c r="P571" s="43">
        <v>38.549999999999997</v>
      </c>
    </row>
    <row r="572" spans="1:16" ht="16.5" customHeight="1">
      <c r="A572" s="31"/>
      <c r="B572" s="545"/>
      <c r="C572" s="126"/>
      <c r="D572" s="110"/>
      <c r="E572" s="752"/>
      <c r="F572" s="742"/>
      <c r="G572" s="852"/>
      <c r="H572" s="46"/>
      <c r="I572" s="47"/>
      <c r="J572" s="38">
        <f t="shared" si="175"/>
        <v>0</v>
      </c>
      <c r="K572" s="805"/>
      <c r="L572" s="309" t="s">
        <v>1347</v>
      </c>
      <c r="M572" s="89"/>
      <c r="N572" s="55"/>
      <c r="O572" s="51"/>
      <c r="P572" s="52"/>
    </row>
    <row r="573" spans="1:16" ht="16.5" customHeight="1">
      <c r="A573" s="226">
        <v>8</v>
      </c>
      <c r="B573" s="53" t="s">
        <v>1348</v>
      </c>
      <c r="C573" s="108" t="s">
        <v>1349</v>
      </c>
      <c r="D573" s="54" t="s">
        <v>1350</v>
      </c>
      <c r="E573" s="748"/>
      <c r="F573" s="740"/>
      <c r="G573" s="839" t="s">
        <v>1351</v>
      </c>
      <c r="H573" s="36" t="s">
        <v>39</v>
      </c>
      <c r="I573" s="37">
        <v>5</v>
      </c>
      <c r="J573" s="38">
        <f t="shared" si="175"/>
        <v>0</v>
      </c>
      <c r="K573" s="806"/>
      <c r="L573" s="300">
        <f>K573/17</f>
        <v>0</v>
      </c>
      <c r="M573" s="40">
        <f>I573*K573</f>
        <v>0</v>
      </c>
      <c r="N573" s="55">
        <v>38.409999999999997</v>
      </c>
      <c r="O573" s="42">
        <f>(K573-N573)/N573</f>
        <v>-1</v>
      </c>
      <c r="P573" s="43">
        <v>36.74</v>
      </c>
    </row>
    <row r="574" spans="1:16" ht="16.5" customHeight="1">
      <c r="A574" s="31"/>
      <c r="B574" s="115"/>
      <c r="C574" s="222"/>
      <c r="D574" s="110"/>
      <c r="E574" s="752"/>
      <c r="F574" s="742"/>
      <c r="G574" s="852"/>
      <c r="H574" s="46"/>
      <c r="I574" s="47"/>
      <c r="J574" s="38">
        <f t="shared" si="175"/>
        <v>0</v>
      </c>
      <c r="K574" s="807"/>
      <c r="L574" s="309" t="s">
        <v>1352</v>
      </c>
      <c r="M574" s="223"/>
      <c r="N574" s="55"/>
      <c r="O574" s="76"/>
      <c r="P574" s="52"/>
    </row>
    <row r="575" spans="1:16" ht="16.5" customHeight="1">
      <c r="A575" s="226">
        <v>9</v>
      </c>
      <c r="B575" s="53" t="s">
        <v>1353</v>
      </c>
      <c r="C575" s="108" t="s">
        <v>1354</v>
      </c>
      <c r="D575" s="54" t="s">
        <v>1355</v>
      </c>
      <c r="E575" s="748"/>
      <c r="F575" s="740"/>
      <c r="G575" s="839" t="s">
        <v>1356</v>
      </c>
      <c r="H575" s="36" t="s">
        <v>39</v>
      </c>
      <c r="I575" s="37">
        <v>10</v>
      </c>
      <c r="J575" s="38">
        <f t="shared" si="175"/>
        <v>0</v>
      </c>
      <c r="K575" s="805"/>
      <c r="L575" s="300">
        <f>K575/6</f>
        <v>0</v>
      </c>
      <c r="M575" s="40">
        <f>I575*K575</f>
        <v>0</v>
      </c>
      <c r="N575" s="55">
        <v>17.48</v>
      </c>
      <c r="O575" s="42">
        <f>(K575-N575)/N575</f>
        <v>-1</v>
      </c>
      <c r="P575" s="43">
        <v>23.21</v>
      </c>
    </row>
    <row r="576" spans="1:16" ht="16.5" customHeight="1">
      <c r="A576" s="31"/>
      <c r="B576" s="115"/>
      <c r="C576" s="222"/>
      <c r="D576" s="110"/>
      <c r="E576" s="752"/>
      <c r="F576" s="742"/>
      <c r="G576" s="852" t="s">
        <v>42</v>
      </c>
      <c r="H576" s="46"/>
      <c r="I576" s="47"/>
      <c r="J576" s="38">
        <f t="shared" si="175"/>
        <v>0</v>
      </c>
      <c r="K576" s="807"/>
      <c r="L576" s="309" t="s">
        <v>1357</v>
      </c>
      <c r="M576" s="223"/>
      <c r="N576" s="55"/>
      <c r="O576" s="51"/>
      <c r="P576" s="52"/>
    </row>
    <row r="577" spans="1:16" ht="16.5" customHeight="1">
      <c r="A577" s="226">
        <v>10</v>
      </c>
      <c r="B577" s="53" t="s">
        <v>1358</v>
      </c>
      <c r="C577" s="165" t="s">
        <v>1359</v>
      </c>
      <c r="D577" s="54" t="s">
        <v>1360</v>
      </c>
      <c r="E577" s="748"/>
      <c r="F577" s="740"/>
      <c r="G577" s="839" t="s">
        <v>1361</v>
      </c>
      <c r="H577" s="36" t="s">
        <v>39</v>
      </c>
      <c r="I577" s="37">
        <v>2</v>
      </c>
      <c r="J577" s="38">
        <f t="shared" si="175"/>
        <v>0</v>
      </c>
      <c r="K577" s="807"/>
      <c r="L577" s="300">
        <f>K577/12</f>
        <v>0</v>
      </c>
      <c r="M577" s="40">
        <f>I577*K577</f>
        <v>0</v>
      </c>
      <c r="N577" s="55">
        <v>59.89</v>
      </c>
      <c r="O577" s="42">
        <f t="shared" ref="O577:O579" si="177">(K577-N577)/N577</f>
        <v>-1</v>
      </c>
      <c r="P577" s="43">
        <v>59.36</v>
      </c>
    </row>
    <row r="578" spans="1:16" ht="16.5" customHeight="1">
      <c r="A578" s="226">
        <v>11</v>
      </c>
      <c r="B578" s="53" t="s">
        <v>1362</v>
      </c>
      <c r="C578" s="135" t="s">
        <v>1363</v>
      </c>
      <c r="D578" s="54" t="s">
        <v>1364</v>
      </c>
      <c r="E578" s="748"/>
      <c r="F578" s="740"/>
      <c r="G578" s="839" t="s">
        <v>1365</v>
      </c>
      <c r="H578" s="36" t="s">
        <v>99</v>
      </c>
      <c r="I578" s="37">
        <v>20</v>
      </c>
      <c r="J578" s="38">
        <f t="shared" si="175"/>
        <v>0</v>
      </c>
      <c r="K578" s="837"/>
      <c r="L578" s="300">
        <f t="shared" ref="L578:L579" si="178">K578</f>
        <v>0</v>
      </c>
      <c r="M578" s="40">
        <f t="shared" ref="M578:M580" si="179">(I578*K578)</f>
        <v>0</v>
      </c>
      <c r="N578" s="55">
        <v>27.91</v>
      </c>
      <c r="O578" s="42">
        <f t="shared" si="177"/>
        <v>-1</v>
      </c>
      <c r="P578" s="43">
        <v>27.91</v>
      </c>
    </row>
    <row r="579" spans="1:16" ht="16.5" customHeight="1">
      <c r="A579" s="226">
        <v>12</v>
      </c>
      <c r="B579" s="53" t="s">
        <v>1366</v>
      </c>
      <c r="C579" s="135" t="s">
        <v>1367</v>
      </c>
      <c r="D579" s="54" t="s">
        <v>1364</v>
      </c>
      <c r="E579" s="748"/>
      <c r="F579" s="740"/>
      <c r="G579" s="839" t="s">
        <v>1368</v>
      </c>
      <c r="H579" s="36" t="s">
        <v>99</v>
      </c>
      <c r="I579" s="37">
        <v>5</v>
      </c>
      <c r="J579" s="38">
        <f t="shared" si="175"/>
        <v>0</v>
      </c>
      <c r="K579" s="837"/>
      <c r="L579" s="300">
        <f t="shared" si="178"/>
        <v>0</v>
      </c>
      <c r="M579" s="40">
        <f t="shared" si="179"/>
        <v>0</v>
      </c>
      <c r="N579" s="55">
        <v>27.91</v>
      </c>
      <c r="O579" s="42">
        <f t="shared" si="177"/>
        <v>-1</v>
      </c>
      <c r="P579" s="43">
        <v>26.96</v>
      </c>
    </row>
    <row r="580" spans="1:16" ht="15.75" customHeight="1">
      <c r="A580" s="226">
        <v>13</v>
      </c>
      <c r="B580" s="53" t="s">
        <v>1369</v>
      </c>
      <c r="C580" s="135" t="s">
        <v>1370</v>
      </c>
      <c r="D580" s="54" t="s">
        <v>1371</v>
      </c>
      <c r="E580" s="748"/>
      <c r="F580" s="740"/>
      <c r="G580" s="839" t="s">
        <v>1372</v>
      </c>
      <c r="H580" s="36" t="s">
        <v>39</v>
      </c>
      <c r="I580" s="37">
        <v>8</v>
      </c>
      <c r="J580" s="38">
        <f t="shared" si="175"/>
        <v>0</v>
      </c>
      <c r="K580" s="837"/>
      <c r="L580" s="300">
        <f>K580/144</f>
        <v>0</v>
      </c>
      <c r="M580" s="40">
        <f t="shared" si="179"/>
        <v>0</v>
      </c>
      <c r="N580" s="55"/>
      <c r="O580" s="76"/>
      <c r="P580" s="43">
        <v>41.95</v>
      </c>
    </row>
    <row r="581" spans="1:16" ht="16.5" customHeight="1">
      <c r="A581" s="226">
        <v>14</v>
      </c>
      <c r="B581" s="61"/>
      <c r="C581" s="492" t="s">
        <v>1373</v>
      </c>
      <c r="D581" s="319" t="s">
        <v>1206</v>
      </c>
      <c r="E581" s="757"/>
      <c r="F581" s="758"/>
      <c r="G581" s="854" t="s">
        <v>1374</v>
      </c>
      <c r="H581" s="120" t="s">
        <v>39</v>
      </c>
      <c r="I581" s="121">
        <v>7</v>
      </c>
      <c r="J581" s="38">
        <f t="shared" si="175"/>
        <v>0</v>
      </c>
      <c r="K581" s="837"/>
      <c r="L581" s="315">
        <f t="shared" ref="L581:L583" si="180">K581/25</f>
        <v>0</v>
      </c>
      <c r="M581" s="122">
        <f t="shared" ref="M581:M587" si="181">I581*K581</f>
        <v>0</v>
      </c>
      <c r="N581" s="55">
        <v>16.93</v>
      </c>
      <c r="O581" s="42">
        <f t="shared" ref="O581:O587" si="182">(K581-N581)/N581</f>
        <v>-1</v>
      </c>
      <c r="P581" s="43">
        <v>14.63</v>
      </c>
    </row>
    <row r="582" spans="1:16" ht="16.5" customHeight="1">
      <c r="A582" s="226">
        <v>15</v>
      </c>
      <c r="B582" s="61"/>
      <c r="C582" s="492" t="s">
        <v>1375</v>
      </c>
      <c r="D582" s="319" t="s">
        <v>1206</v>
      </c>
      <c r="E582" s="757"/>
      <c r="F582" s="758"/>
      <c r="G582" s="854" t="s">
        <v>1374</v>
      </c>
      <c r="H582" s="120" t="s">
        <v>39</v>
      </c>
      <c r="I582" s="121">
        <v>37</v>
      </c>
      <c r="J582" s="38">
        <f t="shared" si="175"/>
        <v>0</v>
      </c>
      <c r="K582" s="837"/>
      <c r="L582" s="315">
        <f t="shared" si="180"/>
        <v>0</v>
      </c>
      <c r="M582" s="122">
        <f t="shared" si="181"/>
        <v>0</v>
      </c>
      <c r="N582" s="55">
        <v>15.3</v>
      </c>
      <c r="O582" s="42">
        <f t="shared" si="182"/>
        <v>-1</v>
      </c>
      <c r="P582" s="43">
        <v>12.95</v>
      </c>
    </row>
    <row r="583" spans="1:16" ht="15.75" customHeight="1">
      <c r="A583" s="226">
        <v>16</v>
      </c>
      <c r="B583" s="115"/>
      <c r="C583" s="492" t="s">
        <v>1376</v>
      </c>
      <c r="D583" s="319" t="s">
        <v>1206</v>
      </c>
      <c r="E583" s="757"/>
      <c r="F583" s="758"/>
      <c r="G583" s="854" t="s">
        <v>1374</v>
      </c>
      <c r="H583" s="120" t="s">
        <v>39</v>
      </c>
      <c r="I583" s="121">
        <v>19</v>
      </c>
      <c r="J583" s="38">
        <f t="shared" si="175"/>
        <v>0</v>
      </c>
      <c r="K583" s="837"/>
      <c r="L583" s="315">
        <f t="shared" si="180"/>
        <v>0</v>
      </c>
      <c r="M583" s="122">
        <f t="shared" si="181"/>
        <v>0</v>
      </c>
      <c r="N583" s="55">
        <v>21.43</v>
      </c>
      <c r="O583" s="42">
        <f t="shared" si="182"/>
        <v>-1</v>
      </c>
      <c r="P583" s="43">
        <v>20.18</v>
      </c>
    </row>
    <row r="584" spans="1:16" ht="16.5" customHeight="1">
      <c r="A584" s="226">
        <v>17</v>
      </c>
      <c r="B584" s="119" t="s">
        <v>1377</v>
      </c>
      <c r="C584" s="314" t="s">
        <v>1378</v>
      </c>
      <c r="D584" s="478" t="s">
        <v>1379</v>
      </c>
      <c r="E584" s="881" t="s">
        <v>230</v>
      </c>
      <c r="F584" s="758"/>
      <c r="G584" s="839" t="s">
        <v>885</v>
      </c>
      <c r="H584" s="120" t="s">
        <v>1380</v>
      </c>
      <c r="I584" s="121">
        <v>8</v>
      </c>
      <c r="J584" s="38">
        <f t="shared" si="175"/>
        <v>0</v>
      </c>
      <c r="K584" s="837"/>
      <c r="L584" s="315">
        <f>K584/32</f>
        <v>0</v>
      </c>
      <c r="M584" s="122">
        <f t="shared" si="181"/>
        <v>0</v>
      </c>
      <c r="N584" s="55">
        <v>4.09</v>
      </c>
      <c r="O584" s="42">
        <f t="shared" si="182"/>
        <v>-1</v>
      </c>
      <c r="P584" s="43">
        <v>4.47</v>
      </c>
    </row>
    <row r="585" spans="1:16" ht="16.5" customHeight="1">
      <c r="A585" s="226">
        <v>18</v>
      </c>
      <c r="B585" s="53" t="s">
        <v>1381</v>
      </c>
      <c r="C585" s="165" t="s">
        <v>1382</v>
      </c>
      <c r="D585" s="54" t="s">
        <v>1383</v>
      </c>
      <c r="E585" s="748"/>
      <c r="F585" s="740"/>
      <c r="G585" s="839" t="s">
        <v>1384</v>
      </c>
      <c r="H585" s="36" t="s">
        <v>39</v>
      </c>
      <c r="I585" s="37">
        <v>5</v>
      </c>
      <c r="J585" s="38">
        <f t="shared" si="175"/>
        <v>0</v>
      </c>
      <c r="K585" s="837"/>
      <c r="L585" s="300">
        <f>K585/4</f>
        <v>0</v>
      </c>
      <c r="M585" s="40">
        <f t="shared" si="181"/>
        <v>0</v>
      </c>
      <c r="N585" s="55">
        <v>8.25</v>
      </c>
      <c r="O585" s="42">
        <f t="shared" si="182"/>
        <v>-1</v>
      </c>
      <c r="P585" s="43">
        <v>8.25</v>
      </c>
    </row>
    <row r="586" spans="1:16" ht="16.5" customHeight="1">
      <c r="A586" s="226">
        <v>19</v>
      </c>
      <c r="B586" s="53" t="s">
        <v>1385</v>
      </c>
      <c r="C586" s="165" t="s">
        <v>1386</v>
      </c>
      <c r="D586" s="54" t="s">
        <v>1387</v>
      </c>
      <c r="E586" s="748"/>
      <c r="F586" s="740"/>
      <c r="G586" s="839" t="s">
        <v>1388</v>
      </c>
      <c r="H586" s="36" t="s">
        <v>39</v>
      </c>
      <c r="I586" s="37">
        <v>15</v>
      </c>
      <c r="J586" s="38">
        <f t="shared" si="175"/>
        <v>0</v>
      </c>
      <c r="K586" s="837"/>
      <c r="L586" s="300">
        <f>K586/200</f>
        <v>0</v>
      </c>
      <c r="M586" s="40">
        <f t="shared" si="181"/>
        <v>0</v>
      </c>
      <c r="N586" s="55">
        <v>12.3</v>
      </c>
      <c r="O586" s="42">
        <f t="shared" si="182"/>
        <v>-1</v>
      </c>
      <c r="P586" s="43">
        <v>11.6</v>
      </c>
    </row>
    <row r="587" spans="1:16" ht="16.5" customHeight="1" thickBot="1">
      <c r="A587" s="226">
        <v>20</v>
      </c>
      <c r="B587" s="53" t="s">
        <v>1389</v>
      </c>
      <c r="C587" s="644" t="s">
        <v>1794</v>
      </c>
      <c r="D587" s="54" t="s">
        <v>1390</v>
      </c>
      <c r="E587" s="748" t="s">
        <v>47</v>
      </c>
      <c r="F587" s="740"/>
      <c r="G587" s="839" t="s">
        <v>1391</v>
      </c>
      <c r="H587" s="36" t="s">
        <v>39</v>
      </c>
      <c r="I587" s="37">
        <v>70</v>
      </c>
      <c r="J587" s="38">
        <f t="shared" si="175"/>
        <v>0</v>
      </c>
      <c r="K587" s="805"/>
      <c r="L587" s="300">
        <f>K587/1000</f>
        <v>0</v>
      </c>
      <c r="M587" s="40">
        <f t="shared" si="181"/>
        <v>0</v>
      </c>
      <c r="N587" s="55">
        <v>18.14</v>
      </c>
      <c r="O587" s="42">
        <f t="shared" si="182"/>
        <v>-1</v>
      </c>
      <c r="P587" s="43">
        <v>17.489999999999998</v>
      </c>
    </row>
    <row r="588" spans="1:16" ht="16.5" customHeight="1" thickBot="1">
      <c r="A588" s="31"/>
      <c r="B588" s="115"/>
      <c r="C588" s="645" t="s">
        <v>1795</v>
      </c>
      <c r="D588" s="110"/>
      <c r="E588" s="752"/>
      <c r="F588" s="742"/>
      <c r="G588" s="852" t="s">
        <v>42</v>
      </c>
      <c r="H588" s="46"/>
      <c r="I588" s="47"/>
      <c r="J588" s="38">
        <f t="shared" si="175"/>
        <v>0</v>
      </c>
      <c r="K588" s="807"/>
      <c r="L588" s="309"/>
      <c r="M588" s="89"/>
      <c r="N588" s="55"/>
      <c r="O588" s="76"/>
      <c r="P588" s="52"/>
    </row>
    <row r="589" spans="1:16" ht="16.5" thickBot="1">
      <c r="A589" s="226">
        <v>21</v>
      </c>
      <c r="B589" s="53" t="s">
        <v>1392</v>
      </c>
      <c r="C589" s="161" t="s">
        <v>1393</v>
      </c>
      <c r="D589" s="34" t="s">
        <v>1394</v>
      </c>
      <c r="E589" s="876"/>
      <c r="F589" s="740"/>
      <c r="G589" s="916" t="s">
        <v>1395</v>
      </c>
      <c r="H589" s="36" t="s">
        <v>39</v>
      </c>
      <c r="I589" s="37">
        <v>9</v>
      </c>
      <c r="J589" s="38">
        <f t="shared" si="175"/>
        <v>0</v>
      </c>
      <c r="K589" s="805"/>
      <c r="L589" s="300">
        <f>K589/720</f>
        <v>0</v>
      </c>
      <c r="M589" s="40">
        <f>I589*K589</f>
        <v>0</v>
      </c>
      <c r="N589" s="55">
        <v>25.2</v>
      </c>
      <c r="O589" s="42">
        <f t="shared" ref="O589:O590" si="183">(K589-N589)/N589</f>
        <v>-1</v>
      </c>
      <c r="P589" s="43">
        <v>17.760000000000002</v>
      </c>
    </row>
    <row r="590" spans="1:16" ht="15.75">
      <c r="A590" s="226">
        <v>22</v>
      </c>
      <c r="B590" s="53" t="s">
        <v>1396</v>
      </c>
      <c r="C590" s="108" t="s">
        <v>1397</v>
      </c>
      <c r="D590" s="643" t="s">
        <v>1793</v>
      </c>
      <c r="E590" s="748"/>
      <c r="F590" s="740"/>
      <c r="G590" s="839" t="s">
        <v>1399</v>
      </c>
      <c r="H590" s="36" t="s">
        <v>39</v>
      </c>
      <c r="I590" s="37">
        <v>25</v>
      </c>
      <c r="J590" s="38">
        <f t="shared" si="175"/>
        <v>0</v>
      </c>
      <c r="K590" s="806"/>
      <c r="L590" s="300">
        <f>K590/200</f>
        <v>0</v>
      </c>
      <c r="M590" s="40">
        <f>K590*I590</f>
        <v>0</v>
      </c>
      <c r="N590" s="55">
        <v>15.91</v>
      </c>
      <c r="O590" s="42">
        <f t="shared" si="183"/>
        <v>-1</v>
      </c>
      <c r="P590" s="43">
        <v>15.63</v>
      </c>
    </row>
    <row r="591" spans="1:16" ht="16.5" customHeight="1">
      <c r="A591" s="31"/>
      <c r="B591" s="115"/>
      <c r="C591" s="222"/>
      <c r="D591" s="110"/>
      <c r="E591" s="752"/>
      <c r="F591" s="742"/>
      <c r="G591" s="852" t="s">
        <v>42</v>
      </c>
      <c r="H591" s="46"/>
      <c r="I591" s="47"/>
      <c r="J591" s="38">
        <f t="shared" si="175"/>
        <v>0</v>
      </c>
      <c r="K591" s="807"/>
      <c r="L591" s="309"/>
      <c r="M591" s="89"/>
      <c r="N591" s="55"/>
      <c r="O591" s="51"/>
      <c r="P591" s="52"/>
    </row>
    <row r="592" spans="1:16" ht="16.5" customHeight="1">
      <c r="A592" s="226">
        <v>23</v>
      </c>
      <c r="B592" s="53" t="s">
        <v>1400</v>
      </c>
      <c r="C592" s="85" t="s">
        <v>1401</v>
      </c>
      <c r="D592" s="54"/>
      <c r="E592" s="748"/>
      <c r="F592" s="740"/>
      <c r="G592" s="839" t="s">
        <v>885</v>
      </c>
      <c r="H592" s="36" t="s">
        <v>39</v>
      </c>
      <c r="I592" s="37">
        <v>40</v>
      </c>
      <c r="J592" s="38">
        <f t="shared" si="175"/>
        <v>0</v>
      </c>
      <c r="K592" s="805"/>
      <c r="L592" s="300">
        <f>K592/500</f>
        <v>0</v>
      </c>
      <c r="M592" s="40">
        <f>I592*K592</f>
        <v>0</v>
      </c>
      <c r="N592" s="55">
        <v>5.83</v>
      </c>
      <c r="O592" s="42">
        <f>(K592-N592)/N592</f>
        <v>-1</v>
      </c>
      <c r="P592" s="43">
        <v>5.59</v>
      </c>
    </row>
    <row r="593" spans="1:16" ht="16.5" customHeight="1">
      <c r="A593" s="31"/>
      <c r="B593" s="115"/>
      <c r="C593" s="222" t="s">
        <v>1402</v>
      </c>
      <c r="D593" s="56" t="s">
        <v>1403</v>
      </c>
      <c r="E593" s="752"/>
      <c r="F593" s="742"/>
      <c r="G593" s="852" t="s">
        <v>1404</v>
      </c>
      <c r="H593" s="46"/>
      <c r="I593" s="47"/>
      <c r="J593" s="38">
        <f t="shared" si="175"/>
        <v>0</v>
      </c>
      <c r="K593" s="805"/>
      <c r="L593" s="309"/>
      <c r="M593" s="223"/>
      <c r="N593" s="55"/>
      <c r="O593" s="76"/>
      <c r="P593" s="52"/>
    </row>
    <row r="594" spans="1:16" ht="16.5" customHeight="1">
      <c r="A594" s="226">
        <v>24</v>
      </c>
      <c r="B594" s="61" t="s">
        <v>1405</v>
      </c>
      <c r="C594" s="172" t="s">
        <v>1406</v>
      </c>
      <c r="D594" s="62" t="s">
        <v>1407</v>
      </c>
      <c r="E594" s="756"/>
      <c r="F594" s="750"/>
      <c r="G594" s="851" t="s">
        <v>1408</v>
      </c>
      <c r="H594" s="113" t="s">
        <v>39</v>
      </c>
      <c r="I594" s="64">
        <v>10</v>
      </c>
      <c r="J594" s="38">
        <f t="shared" si="175"/>
        <v>0</v>
      </c>
      <c r="K594" s="806"/>
      <c r="L594" s="301">
        <f>K594/285</f>
        <v>0</v>
      </c>
      <c r="M594" s="187">
        <f>K594*I594</f>
        <v>0</v>
      </c>
      <c r="N594" s="55">
        <v>19.71</v>
      </c>
      <c r="O594" s="42">
        <f>(K594-N594)/N594</f>
        <v>-1</v>
      </c>
      <c r="P594" s="43">
        <v>19.29</v>
      </c>
    </row>
    <row r="595" spans="1:16" ht="16.5" customHeight="1">
      <c r="A595" s="31"/>
      <c r="B595" s="61"/>
      <c r="C595" s="179" t="s">
        <v>1409</v>
      </c>
      <c r="D595" s="112"/>
      <c r="E595" s="756"/>
      <c r="F595" s="750"/>
      <c r="G595" s="851" t="s">
        <v>42</v>
      </c>
      <c r="H595" s="113"/>
      <c r="I595" s="64"/>
      <c r="J595" s="38">
        <f t="shared" si="175"/>
        <v>0</v>
      </c>
      <c r="K595" s="807"/>
      <c r="L595" s="301"/>
      <c r="M595" s="219"/>
      <c r="N595" s="55"/>
      <c r="O595" s="76"/>
      <c r="P595" s="43"/>
    </row>
    <row r="596" spans="1:16" ht="15.75">
      <c r="A596" s="226">
        <v>25</v>
      </c>
      <c r="B596" s="53" t="s">
        <v>1410</v>
      </c>
      <c r="C596" s="314" t="s">
        <v>1411</v>
      </c>
      <c r="D596" s="478" t="s">
        <v>1412</v>
      </c>
      <c r="E596" s="881"/>
      <c r="F596" s="758"/>
      <c r="G596" s="854" t="s">
        <v>1413</v>
      </c>
      <c r="H596" s="120" t="s">
        <v>39</v>
      </c>
      <c r="I596" s="121">
        <v>100</v>
      </c>
      <c r="J596" s="38">
        <f t="shared" si="175"/>
        <v>0</v>
      </c>
      <c r="K596" s="837"/>
      <c r="L596" s="315">
        <f>K596/100</f>
        <v>0</v>
      </c>
      <c r="M596" s="122">
        <f t="shared" ref="M596:M597" si="184">I596*K596</f>
        <v>0</v>
      </c>
      <c r="N596" s="494">
        <v>10.56</v>
      </c>
      <c r="O596" s="42">
        <f t="shared" ref="O596:O597" si="185">(K596-N596)/N596</f>
        <v>-1</v>
      </c>
      <c r="P596" s="43">
        <v>10.88</v>
      </c>
    </row>
    <row r="597" spans="1:16" ht="16.5" customHeight="1">
      <c r="A597" s="310">
        <v>26</v>
      </c>
      <c r="B597" s="61"/>
      <c r="C597" s="165" t="s">
        <v>1414</v>
      </c>
      <c r="D597" s="54" t="s">
        <v>1415</v>
      </c>
      <c r="E597" s="748"/>
      <c r="F597" s="740"/>
      <c r="G597" s="839" t="s">
        <v>1416</v>
      </c>
      <c r="H597" s="36" t="s">
        <v>39</v>
      </c>
      <c r="I597" s="37">
        <v>2</v>
      </c>
      <c r="J597" s="38">
        <f t="shared" si="175"/>
        <v>0</v>
      </c>
      <c r="K597" s="805"/>
      <c r="L597" s="300">
        <f>K597/576</f>
        <v>0</v>
      </c>
      <c r="M597" s="40">
        <f t="shared" si="184"/>
        <v>0</v>
      </c>
      <c r="N597" s="55">
        <v>38</v>
      </c>
      <c r="O597" s="42">
        <f t="shared" si="185"/>
        <v>-1</v>
      </c>
      <c r="P597" s="43">
        <v>39.799999999999997</v>
      </c>
    </row>
    <row r="598" spans="1:16" ht="16.5" customHeight="1">
      <c r="A598" s="311"/>
      <c r="B598" s="495"/>
      <c r="C598" s="496"/>
      <c r="D598" s="447"/>
      <c r="E598" s="898"/>
      <c r="F598" s="917"/>
      <c r="G598" s="900" t="s">
        <v>42</v>
      </c>
      <c r="H598" s="448"/>
      <c r="I598" s="449"/>
      <c r="J598" s="38">
        <f t="shared" si="175"/>
        <v>0</v>
      </c>
      <c r="K598" s="807"/>
      <c r="L598" s="450"/>
      <c r="M598" s="451"/>
      <c r="N598" s="55"/>
      <c r="O598" s="76"/>
      <c r="P598" s="52"/>
    </row>
    <row r="599" spans="1:16" ht="16.5" customHeight="1">
      <c r="A599" s="226">
        <v>27</v>
      </c>
      <c r="B599" s="61" t="s">
        <v>1417</v>
      </c>
      <c r="C599" s="307" t="s">
        <v>1418</v>
      </c>
      <c r="D599" s="62" t="s">
        <v>1412</v>
      </c>
      <c r="E599" s="756"/>
      <c r="F599" s="750"/>
      <c r="G599" s="851" t="s">
        <v>1419</v>
      </c>
      <c r="H599" s="113" t="s">
        <v>39</v>
      </c>
      <c r="I599" s="64">
        <v>150</v>
      </c>
      <c r="J599" s="38">
        <f t="shared" si="175"/>
        <v>0</v>
      </c>
      <c r="K599" s="805"/>
      <c r="L599" s="301">
        <f>K599/100</f>
        <v>0</v>
      </c>
      <c r="M599" s="58">
        <f>I599*K599</f>
        <v>0</v>
      </c>
      <c r="N599" s="55">
        <v>13.47</v>
      </c>
      <c r="O599" s="42">
        <f>(K599-N599)/N599</f>
        <v>-1</v>
      </c>
      <c r="P599" s="43">
        <v>14.06</v>
      </c>
    </row>
    <row r="600" spans="1:16" ht="16.5" customHeight="1">
      <c r="A600" s="31"/>
      <c r="B600" s="115"/>
      <c r="C600" s="229"/>
      <c r="D600" s="112"/>
      <c r="E600" s="756"/>
      <c r="F600" s="750"/>
      <c r="G600" s="851" t="s">
        <v>42</v>
      </c>
      <c r="H600" s="113"/>
      <c r="I600" s="64"/>
      <c r="J600" s="38">
        <f t="shared" si="175"/>
        <v>0</v>
      </c>
      <c r="K600" s="807"/>
      <c r="L600" s="301"/>
      <c r="M600" s="223"/>
      <c r="N600" s="55"/>
      <c r="O600" s="76"/>
      <c r="P600" s="43"/>
    </row>
    <row r="601" spans="1:16" ht="16.5" customHeight="1">
      <c r="A601" s="226">
        <v>28</v>
      </c>
      <c r="B601" s="119" t="s">
        <v>1420</v>
      </c>
      <c r="C601" s="185" t="s">
        <v>1421</v>
      </c>
      <c r="D601" s="319" t="s">
        <v>1422</v>
      </c>
      <c r="E601" s="757"/>
      <c r="F601" s="758"/>
      <c r="G601" s="854" t="s">
        <v>1423</v>
      </c>
      <c r="H601" s="120" t="s">
        <v>39</v>
      </c>
      <c r="I601" s="121">
        <v>14</v>
      </c>
      <c r="J601" s="38">
        <f t="shared" si="175"/>
        <v>0</v>
      </c>
      <c r="K601" s="807"/>
      <c r="L601" s="315">
        <f>K601/12</f>
        <v>0</v>
      </c>
      <c r="M601" s="163">
        <f t="shared" ref="M601:M602" si="186">I601*K601</f>
        <v>0</v>
      </c>
      <c r="N601" s="55">
        <v>25.67</v>
      </c>
      <c r="O601" s="42">
        <f t="shared" ref="O601:O602" si="187">(K601-N601)/N601</f>
        <v>-1</v>
      </c>
      <c r="P601" s="43">
        <v>27.57</v>
      </c>
    </row>
    <row r="602" spans="1:16" ht="16.5" customHeight="1">
      <c r="A602" s="226">
        <v>29</v>
      </c>
      <c r="B602" s="53" t="s">
        <v>1424</v>
      </c>
      <c r="C602" s="85" t="s">
        <v>1425</v>
      </c>
      <c r="D602" s="54" t="s">
        <v>1426</v>
      </c>
      <c r="E602" s="748"/>
      <c r="F602" s="740"/>
      <c r="G602" s="839" t="s">
        <v>1427</v>
      </c>
      <c r="H602" s="36" t="s">
        <v>39</v>
      </c>
      <c r="I602" s="37">
        <v>13</v>
      </c>
      <c r="J602" s="38">
        <f t="shared" si="175"/>
        <v>0</v>
      </c>
      <c r="K602" s="805"/>
      <c r="L602" s="300">
        <f>K602/200</f>
        <v>0</v>
      </c>
      <c r="M602" s="40">
        <f t="shared" si="186"/>
        <v>0</v>
      </c>
      <c r="N602" s="55">
        <v>8.7100000000000009</v>
      </c>
      <c r="O602" s="42">
        <f t="shared" si="187"/>
        <v>-1</v>
      </c>
      <c r="P602" s="43">
        <v>11.19</v>
      </c>
    </row>
    <row r="603" spans="1:16" ht="16.5" customHeight="1">
      <c r="A603" s="31"/>
      <c r="B603" s="61"/>
      <c r="C603" s="179"/>
      <c r="D603" s="112"/>
      <c r="E603" s="756"/>
      <c r="F603" s="750"/>
      <c r="G603" s="851" t="s">
        <v>42</v>
      </c>
      <c r="H603" s="113"/>
      <c r="I603" s="64"/>
      <c r="J603" s="38">
        <f t="shared" si="175"/>
        <v>0</v>
      </c>
      <c r="K603" s="807"/>
      <c r="L603" s="301"/>
      <c r="M603" s="219"/>
      <c r="N603" s="55"/>
      <c r="O603" s="76"/>
      <c r="P603" s="52"/>
    </row>
    <row r="604" spans="1:16" ht="15.75" customHeight="1">
      <c r="A604" s="226">
        <v>30</v>
      </c>
      <c r="B604" s="119" t="s">
        <v>1428</v>
      </c>
      <c r="C604" s="161" t="s">
        <v>1429</v>
      </c>
      <c r="D604" s="319" t="s">
        <v>1430</v>
      </c>
      <c r="E604" s="757"/>
      <c r="F604" s="758"/>
      <c r="G604" s="854" t="s">
        <v>1431</v>
      </c>
      <c r="H604" s="120" t="s">
        <v>39</v>
      </c>
      <c r="I604" s="121">
        <v>10</v>
      </c>
      <c r="J604" s="127"/>
      <c r="K604" s="810"/>
      <c r="L604" s="315">
        <f t="shared" ref="L604:L605" si="188">K604/200</f>
        <v>0</v>
      </c>
      <c r="M604" s="122">
        <f t="shared" ref="M604:M605" si="189">I604*K604</f>
        <v>0</v>
      </c>
      <c r="N604" s="55">
        <v>10.92</v>
      </c>
      <c r="O604" s="76"/>
      <c r="P604" s="52"/>
    </row>
    <row r="605" spans="1:16" ht="15.75">
      <c r="A605" s="226">
        <v>31</v>
      </c>
      <c r="B605" s="61" t="s">
        <v>1432</v>
      </c>
      <c r="C605" s="123" t="s">
        <v>1433</v>
      </c>
      <c r="D605" s="62" t="s">
        <v>1398</v>
      </c>
      <c r="E605" s="756"/>
      <c r="F605" s="750"/>
      <c r="G605" s="851" t="s">
        <v>1434</v>
      </c>
      <c r="H605" s="113" t="s">
        <v>39</v>
      </c>
      <c r="I605" s="64">
        <v>2</v>
      </c>
      <c r="J605" s="130">
        <f t="shared" ref="J605:J691" si="190">(K605*8%)+K605</f>
        <v>0</v>
      </c>
      <c r="K605" s="810"/>
      <c r="L605" s="301">
        <f t="shared" si="188"/>
        <v>0</v>
      </c>
      <c r="M605" s="187">
        <f t="shared" si="189"/>
        <v>0</v>
      </c>
      <c r="N605" s="55">
        <v>12.72</v>
      </c>
      <c r="O605" s="42">
        <f t="shared" ref="O605:O609" si="191">(K605-N605)/N605</f>
        <v>-1</v>
      </c>
      <c r="P605" s="43">
        <v>12.49</v>
      </c>
    </row>
    <row r="606" spans="1:16" ht="16.5" customHeight="1">
      <c r="A606" s="226">
        <v>32</v>
      </c>
      <c r="B606" s="53" t="s">
        <v>1435</v>
      </c>
      <c r="C606" s="161" t="s">
        <v>1436</v>
      </c>
      <c r="D606" s="319" t="s">
        <v>1437</v>
      </c>
      <c r="E606" s="757"/>
      <c r="F606" s="758"/>
      <c r="G606" s="854" t="s">
        <v>1438</v>
      </c>
      <c r="H606" s="120" t="s">
        <v>39</v>
      </c>
      <c r="I606" s="121">
        <v>10</v>
      </c>
      <c r="J606" s="38">
        <f t="shared" si="190"/>
        <v>0</v>
      </c>
      <c r="K606" s="810"/>
      <c r="L606" s="315">
        <f t="shared" ref="L606:L607" si="192">K606/12</f>
        <v>0</v>
      </c>
      <c r="M606" s="163">
        <f t="shared" ref="M606:M607" si="193">K606*L606</f>
        <v>0</v>
      </c>
      <c r="N606" s="494">
        <v>21.41</v>
      </c>
      <c r="O606" s="42">
        <f t="shared" si="191"/>
        <v>-1</v>
      </c>
      <c r="P606" s="43">
        <v>18.7</v>
      </c>
    </row>
    <row r="607" spans="1:16" ht="15.75" customHeight="1">
      <c r="A607" s="310">
        <v>33</v>
      </c>
      <c r="B607" s="115"/>
      <c r="C607" s="318"/>
      <c r="D607" s="319" t="s">
        <v>1437</v>
      </c>
      <c r="E607" s="757"/>
      <c r="F607" s="758"/>
      <c r="G607" s="854" t="s">
        <v>1439</v>
      </c>
      <c r="H607" s="120" t="s">
        <v>39</v>
      </c>
      <c r="I607" s="121">
        <v>8</v>
      </c>
      <c r="J607" s="38">
        <f t="shared" si="190"/>
        <v>0</v>
      </c>
      <c r="K607" s="811"/>
      <c r="L607" s="315">
        <f t="shared" si="192"/>
        <v>0</v>
      </c>
      <c r="M607" s="163">
        <f t="shared" si="193"/>
        <v>0</v>
      </c>
      <c r="N607" s="55">
        <v>21.37</v>
      </c>
      <c r="O607" s="42">
        <f t="shared" si="191"/>
        <v>-1</v>
      </c>
      <c r="P607" s="43">
        <v>18.7</v>
      </c>
    </row>
    <row r="608" spans="1:16" ht="16.5" customHeight="1">
      <c r="A608" s="226">
        <v>34</v>
      </c>
      <c r="B608" s="115" t="s">
        <v>1440</v>
      </c>
      <c r="C608" s="158" t="s">
        <v>1441</v>
      </c>
      <c r="D608" s="56" t="s">
        <v>1442</v>
      </c>
      <c r="E608" s="752"/>
      <c r="F608" s="742"/>
      <c r="G608" s="852" t="s">
        <v>1443</v>
      </c>
      <c r="H608" s="46" t="s">
        <v>39</v>
      </c>
      <c r="I608" s="47">
        <v>250</v>
      </c>
      <c r="J608" s="193">
        <f t="shared" si="190"/>
        <v>0</v>
      </c>
      <c r="K608" s="812"/>
      <c r="L608" s="48">
        <f>K608/120</f>
        <v>0</v>
      </c>
      <c r="M608" s="189">
        <f>I608*K608</f>
        <v>0</v>
      </c>
      <c r="N608" s="55">
        <v>13.77</v>
      </c>
      <c r="O608" s="42">
        <f t="shared" si="191"/>
        <v>-1</v>
      </c>
      <c r="P608" s="52">
        <v>13.77</v>
      </c>
    </row>
    <row r="609" spans="1:16" ht="16.5" customHeight="1">
      <c r="A609" s="226">
        <v>35</v>
      </c>
      <c r="B609" s="53" t="s">
        <v>1444</v>
      </c>
      <c r="C609" s="135" t="s">
        <v>1445</v>
      </c>
      <c r="D609" s="54" t="s">
        <v>1446</v>
      </c>
      <c r="E609" s="748"/>
      <c r="F609" s="750"/>
      <c r="G609" s="851" t="s">
        <v>1447</v>
      </c>
      <c r="H609" s="113" t="s">
        <v>39</v>
      </c>
      <c r="I609" s="37">
        <v>15</v>
      </c>
      <c r="J609" s="38">
        <f t="shared" si="190"/>
        <v>0</v>
      </c>
      <c r="K609" s="810"/>
      <c r="L609" s="300">
        <f>K609/4</f>
        <v>0</v>
      </c>
      <c r="M609" s="40">
        <f>(I609*K609)</f>
        <v>0</v>
      </c>
      <c r="N609" s="55">
        <v>39.200000000000003</v>
      </c>
      <c r="O609" s="42">
        <f t="shared" si="191"/>
        <v>-1</v>
      </c>
      <c r="P609" s="43">
        <v>39.200000000000003</v>
      </c>
    </row>
    <row r="610" spans="1:16" ht="24">
      <c r="A610" s="226">
        <v>36</v>
      </c>
      <c r="B610" s="53" t="s">
        <v>1448</v>
      </c>
      <c r="C610" s="135" t="s">
        <v>1449</v>
      </c>
      <c r="D610" s="54" t="s">
        <v>1054</v>
      </c>
      <c r="E610" s="748"/>
      <c r="F610" s="740"/>
      <c r="G610" s="839" t="s">
        <v>1450</v>
      </c>
      <c r="H610" s="36" t="s">
        <v>39</v>
      </c>
      <c r="I610" s="37">
        <v>3</v>
      </c>
      <c r="J610" s="38">
        <f t="shared" si="190"/>
        <v>0</v>
      </c>
      <c r="K610" s="810"/>
      <c r="L610" s="300">
        <f t="shared" ref="L610:L611" si="194">K610/1</f>
        <v>0</v>
      </c>
      <c r="M610" s="40">
        <f t="shared" ref="M610:M611" si="195">I610*K610</f>
        <v>0</v>
      </c>
      <c r="N610" s="55">
        <v>11.06</v>
      </c>
      <c r="O610" s="76"/>
      <c r="P610" s="43">
        <v>36.4</v>
      </c>
    </row>
    <row r="611" spans="1:16" ht="16.5" customHeight="1">
      <c r="A611" s="226">
        <v>37</v>
      </c>
      <c r="B611" s="53" t="s">
        <v>1451</v>
      </c>
      <c r="C611" s="135" t="s">
        <v>1452</v>
      </c>
      <c r="D611" s="54" t="s">
        <v>1054</v>
      </c>
      <c r="E611" s="748"/>
      <c r="F611" s="740"/>
      <c r="G611" s="839" t="s">
        <v>1453</v>
      </c>
      <c r="H611" s="36" t="s">
        <v>39</v>
      </c>
      <c r="I611" s="37">
        <v>16</v>
      </c>
      <c r="J611" s="38">
        <f t="shared" si="190"/>
        <v>0</v>
      </c>
      <c r="K611" s="810"/>
      <c r="L611" s="300">
        <f t="shared" si="194"/>
        <v>0</v>
      </c>
      <c r="M611" s="40">
        <f t="shared" si="195"/>
        <v>0</v>
      </c>
      <c r="N611" s="55">
        <v>6.23</v>
      </c>
      <c r="O611" s="76"/>
      <c r="P611" s="52"/>
    </row>
    <row r="612" spans="1:16" ht="16.5" customHeight="1">
      <c r="A612" s="226">
        <v>38</v>
      </c>
      <c r="B612" s="119" t="s">
        <v>1454</v>
      </c>
      <c r="C612" s="161" t="s">
        <v>1455</v>
      </c>
      <c r="D612" s="319" t="s">
        <v>1383</v>
      </c>
      <c r="E612" s="757"/>
      <c r="F612" s="758"/>
      <c r="G612" s="854" t="s">
        <v>1456</v>
      </c>
      <c r="H612" s="120" t="s">
        <v>39</v>
      </c>
      <c r="I612" s="121">
        <v>20</v>
      </c>
      <c r="J612" s="38">
        <f t="shared" si="190"/>
        <v>0</v>
      </c>
      <c r="K612" s="810"/>
      <c r="L612" s="315">
        <f t="shared" ref="L612:L613" si="196">K612/4</f>
        <v>0</v>
      </c>
      <c r="M612" s="122">
        <f>(I612*K612)</f>
        <v>0</v>
      </c>
      <c r="N612" s="55">
        <v>30.67</v>
      </c>
      <c r="O612" s="42">
        <f t="shared" ref="O612:O614" si="197">(K612-N612)/N612</f>
        <v>-1</v>
      </c>
      <c r="P612" s="43">
        <v>30.67</v>
      </c>
    </row>
    <row r="613" spans="1:16" ht="24">
      <c r="A613" s="226">
        <v>39</v>
      </c>
      <c r="B613" s="61" t="s">
        <v>1457</v>
      </c>
      <c r="C613" s="123" t="s">
        <v>1458</v>
      </c>
      <c r="D613" s="62" t="s">
        <v>1383</v>
      </c>
      <c r="E613" s="756"/>
      <c r="F613" s="750"/>
      <c r="G613" s="851" t="s">
        <v>1459</v>
      </c>
      <c r="H613" s="113" t="s">
        <v>39</v>
      </c>
      <c r="I613" s="64">
        <v>6</v>
      </c>
      <c r="J613" s="38">
        <f t="shared" si="190"/>
        <v>0</v>
      </c>
      <c r="K613" s="810"/>
      <c r="L613" s="301">
        <f t="shared" si="196"/>
        <v>0</v>
      </c>
      <c r="M613" s="58">
        <f>K613*I613</f>
        <v>0</v>
      </c>
      <c r="N613" s="55">
        <v>43.4</v>
      </c>
      <c r="O613" s="42">
        <f t="shared" si="197"/>
        <v>-1</v>
      </c>
      <c r="P613" s="43">
        <v>42.58</v>
      </c>
    </row>
    <row r="614" spans="1:16" ht="15.75" customHeight="1">
      <c r="A614" s="226">
        <v>40</v>
      </c>
      <c r="B614" s="53" t="s">
        <v>1460</v>
      </c>
      <c r="C614" s="165" t="s">
        <v>1461</v>
      </c>
      <c r="D614" s="54" t="s">
        <v>1462</v>
      </c>
      <c r="E614" s="748"/>
      <c r="F614" s="740"/>
      <c r="G614" s="839" t="s">
        <v>1463</v>
      </c>
      <c r="H614" s="36" t="s">
        <v>39</v>
      </c>
      <c r="I614" s="37">
        <v>50</v>
      </c>
      <c r="J614" s="38">
        <f t="shared" si="190"/>
        <v>0</v>
      </c>
      <c r="K614" s="805"/>
      <c r="L614" s="300">
        <f>K614/12</f>
        <v>0</v>
      </c>
      <c r="M614" s="40">
        <f>I614*K614</f>
        <v>0</v>
      </c>
      <c r="N614" s="55">
        <v>16.940000000000001</v>
      </c>
      <c r="O614" s="42">
        <f t="shared" si="197"/>
        <v>-1</v>
      </c>
      <c r="P614" s="43">
        <v>16.940000000000001</v>
      </c>
    </row>
    <row r="615" spans="1:16" ht="15.75" customHeight="1">
      <c r="A615" s="31"/>
      <c r="B615" s="115"/>
      <c r="C615" s="328"/>
      <c r="D615" s="110"/>
      <c r="E615" s="752"/>
      <c r="F615" s="742"/>
      <c r="G615" s="852" t="s">
        <v>42</v>
      </c>
      <c r="H615" s="46"/>
      <c r="I615" s="47"/>
      <c r="J615" s="38">
        <f t="shared" si="190"/>
        <v>0</v>
      </c>
      <c r="K615" s="807"/>
      <c r="L615" s="309"/>
      <c r="M615" s="89"/>
      <c r="N615" s="55"/>
      <c r="O615" s="51"/>
      <c r="P615" s="52"/>
    </row>
    <row r="616" spans="1:16" ht="16.5" customHeight="1">
      <c r="A616" s="226">
        <v>41</v>
      </c>
      <c r="B616" s="119" t="s">
        <v>1464</v>
      </c>
      <c r="C616" s="314" t="s">
        <v>1465</v>
      </c>
      <c r="D616" s="319" t="s">
        <v>1466</v>
      </c>
      <c r="E616" s="757"/>
      <c r="F616" s="758"/>
      <c r="G616" s="854" t="s">
        <v>1467</v>
      </c>
      <c r="H616" s="120" t="s">
        <v>39</v>
      </c>
      <c r="I616" s="121">
        <v>15</v>
      </c>
      <c r="J616" s="38">
        <f t="shared" si="190"/>
        <v>0</v>
      </c>
      <c r="K616" s="807"/>
      <c r="L616" s="315">
        <f t="shared" ref="L616:L617" si="198">K616/12</f>
        <v>0</v>
      </c>
      <c r="M616" s="122">
        <f t="shared" ref="M616:M617" si="199">I616*K616</f>
        <v>0</v>
      </c>
      <c r="N616" s="55">
        <v>24</v>
      </c>
      <c r="O616" s="42">
        <f t="shared" ref="O616:O617" si="200">(K616-N616)/N616</f>
        <v>-1</v>
      </c>
      <c r="P616" s="43">
        <v>24</v>
      </c>
    </row>
    <row r="617" spans="1:16" ht="16.5" customHeight="1">
      <c r="A617" s="226">
        <v>42</v>
      </c>
      <c r="B617" s="115" t="s">
        <v>1468</v>
      </c>
      <c r="C617" s="158" t="s">
        <v>1469</v>
      </c>
      <c r="D617" s="56" t="s">
        <v>1470</v>
      </c>
      <c r="E617" s="752"/>
      <c r="F617" s="742"/>
      <c r="G617" s="852" t="s">
        <v>1471</v>
      </c>
      <c r="H617" s="46" t="s">
        <v>39</v>
      </c>
      <c r="I617" s="47">
        <v>22</v>
      </c>
      <c r="J617" s="38">
        <f t="shared" si="190"/>
        <v>0</v>
      </c>
      <c r="K617" s="837"/>
      <c r="L617" s="309">
        <f t="shared" si="198"/>
        <v>0</v>
      </c>
      <c r="M617" s="89">
        <f t="shared" si="199"/>
        <v>0</v>
      </c>
      <c r="N617" s="55">
        <v>27.4</v>
      </c>
      <c r="O617" s="42">
        <f t="shared" si="200"/>
        <v>-1</v>
      </c>
      <c r="P617" s="52">
        <v>27.4</v>
      </c>
    </row>
    <row r="618" spans="1:16" ht="15.75" hidden="1" customHeight="1">
      <c r="A618" s="486"/>
      <c r="B618" s="61" t="s">
        <v>1472</v>
      </c>
      <c r="C618" s="172" t="s">
        <v>1473</v>
      </c>
      <c r="D618" s="112"/>
      <c r="E618" s="756"/>
      <c r="F618" s="750"/>
      <c r="G618" s="851" t="s">
        <v>1474</v>
      </c>
      <c r="H618" s="113" t="s">
        <v>99</v>
      </c>
      <c r="I618" s="64">
        <v>200000</v>
      </c>
      <c r="J618" s="38">
        <f t="shared" si="190"/>
        <v>0</v>
      </c>
      <c r="K618" s="805"/>
      <c r="L618" s="301"/>
      <c r="M618" s="58">
        <f t="shared" ref="M618:M621" si="201">K618*I618</f>
        <v>0</v>
      </c>
      <c r="N618" s="55"/>
      <c r="O618" s="76"/>
      <c r="P618" s="497">
        <v>0.20880000000000001</v>
      </c>
    </row>
    <row r="619" spans="1:16" ht="15.75" hidden="1" customHeight="1">
      <c r="A619" s="486"/>
      <c r="B619" s="61" t="s">
        <v>1475</v>
      </c>
      <c r="C619" s="172" t="s">
        <v>1476</v>
      </c>
      <c r="D619" s="112"/>
      <c r="E619" s="756"/>
      <c r="F619" s="750"/>
      <c r="G619" s="851" t="s">
        <v>1477</v>
      </c>
      <c r="H619" s="113" t="s">
        <v>99</v>
      </c>
      <c r="I619" s="64">
        <v>22000</v>
      </c>
      <c r="J619" s="38">
        <f t="shared" si="190"/>
        <v>0</v>
      </c>
      <c r="K619" s="805"/>
      <c r="L619" s="301"/>
      <c r="M619" s="58">
        <f t="shared" si="201"/>
        <v>0</v>
      </c>
      <c r="N619" s="55"/>
      <c r="O619" s="51"/>
      <c r="P619" s="497">
        <v>0.19900000000000001</v>
      </c>
    </row>
    <row r="620" spans="1:16" ht="15.75" hidden="1" customHeight="1">
      <c r="A620" s="486"/>
      <c r="B620" s="61" t="s">
        <v>1478</v>
      </c>
      <c r="C620" s="172" t="s">
        <v>1479</v>
      </c>
      <c r="D620" s="112"/>
      <c r="E620" s="756"/>
      <c r="F620" s="750"/>
      <c r="G620" s="851" t="s">
        <v>1480</v>
      </c>
      <c r="H620" s="113" t="s">
        <v>99</v>
      </c>
      <c r="I620" s="64">
        <v>6050</v>
      </c>
      <c r="J620" s="38">
        <f t="shared" si="190"/>
        <v>0</v>
      </c>
      <c r="K620" s="805"/>
      <c r="L620" s="301"/>
      <c r="M620" s="58">
        <f t="shared" si="201"/>
        <v>0</v>
      </c>
      <c r="N620" s="55"/>
      <c r="O620" s="76"/>
      <c r="P620" s="497">
        <v>0.19020000000000001</v>
      </c>
    </row>
    <row r="621" spans="1:16" ht="15.75" hidden="1" customHeight="1">
      <c r="A621" s="486"/>
      <c r="B621" s="61" t="s">
        <v>1481</v>
      </c>
      <c r="C621" s="172" t="s">
        <v>1482</v>
      </c>
      <c r="D621" s="112"/>
      <c r="E621" s="756"/>
      <c r="F621" s="750"/>
      <c r="G621" s="851" t="s">
        <v>1483</v>
      </c>
      <c r="H621" s="113" t="s">
        <v>99</v>
      </c>
      <c r="I621" s="64">
        <v>17000</v>
      </c>
      <c r="J621" s="38">
        <f t="shared" si="190"/>
        <v>0</v>
      </c>
      <c r="K621" s="805"/>
      <c r="L621" s="301"/>
      <c r="M621" s="58">
        <f t="shared" si="201"/>
        <v>0</v>
      </c>
      <c r="N621" s="55"/>
      <c r="O621" s="51"/>
      <c r="P621" s="497">
        <v>0.21199999999999999</v>
      </c>
    </row>
    <row r="622" spans="1:16" ht="16.5" customHeight="1">
      <c r="A622" s="226">
        <v>43</v>
      </c>
      <c r="B622" s="53" t="s">
        <v>1484</v>
      </c>
      <c r="C622" s="642" t="s">
        <v>1791</v>
      </c>
      <c r="D622" s="54" t="s">
        <v>1206</v>
      </c>
      <c r="E622" s="748"/>
      <c r="F622" s="750"/>
      <c r="G622" s="839" t="s">
        <v>1485</v>
      </c>
      <c r="H622" s="36" t="s">
        <v>39</v>
      </c>
      <c r="I622" s="37">
        <v>5</v>
      </c>
      <c r="J622" s="38">
        <f t="shared" si="190"/>
        <v>0</v>
      </c>
      <c r="K622" s="805"/>
      <c r="L622" s="300">
        <f>K622/25</f>
        <v>0</v>
      </c>
      <c r="M622" s="40">
        <f>I622*K622</f>
        <v>0</v>
      </c>
      <c r="N622" s="55">
        <v>59.62</v>
      </c>
      <c r="O622" s="42">
        <f>(K622-N622)/N622</f>
        <v>-1</v>
      </c>
      <c r="P622" s="43">
        <v>57.38</v>
      </c>
    </row>
    <row r="623" spans="1:16" ht="16.5" customHeight="1">
      <c r="A623" s="31"/>
      <c r="B623" s="61"/>
      <c r="C623" s="640" t="s">
        <v>1792</v>
      </c>
      <c r="D623" s="112"/>
      <c r="E623" s="749"/>
      <c r="F623" s="750"/>
      <c r="G623" s="851" t="s">
        <v>1486</v>
      </c>
      <c r="H623" s="113"/>
      <c r="I623" s="64"/>
      <c r="J623" s="88">
        <f t="shared" si="190"/>
        <v>0</v>
      </c>
      <c r="K623" s="805"/>
      <c r="L623" s="304" t="s">
        <v>33</v>
      </c>
      <c r="M623" s="219"/>
      <c r="N623" s="55"/>
      <c r="O623" s="76"/>
      <c r="P623" s="52"/>
    </row>
    <row r="624" spans="1:16" ht="24">
      <c r="A624" s="305">
        <v>44</v>
      </c>
      <c r="B624" s="119" t="s">
        <v>1487</v>
      </c>
      <c r="C624" s="498" t="s">
        <v>1488</v>
      </c>
      <c r="D624" s="319" t="s">
        <v>1379</v>
      </c>
      <c r="E624" s="757"/>
      <c r="F624" s="758"/>
      <c r="G624" s="854" t="s">
        <v>1489</v>
      </c>
      <c r="H624" s="120" t="s">
        <v>1380</v>
      </c>
      <c r="I624" s="121">
        <v>30</v>
      </c>
      <c r="J624" s="127">
        <f t="shared" si="190"/>
        <v>0</v>
      </c>
      <c r="K624" s="810"/>
      <c r="L624" s="315">
        <f>K624/32</f>
        <v>0</v>
      </c>
      <c r="M624" s="163">
        <f>I624*K624</f>
        <v>0</v>
      </c>
      <c r="N624" s="55">
        <v>6.15</v>
      </c>
      <c r="O624" s="42">
        <f>(K624-N624)/N624</f>
        <v>-1</v>
      </c>
      <c r="P624" s="43">
        <v>5.29</v>
      </c>
    </row>
    <row r="625" spans="1:16" ht="17.25" customHeight="1">
      <c r="A625" s="486"/>
      <c r="B625" s="499" t="s">
        <v>1490</v>
      </c>
      <c r="C625" s="500"/>
      <c r="D625" s="501"/>
      <c r="E625" s="918"/>
      <c r="F625" s="919"/>
      <c r="G625" s="920" t="s">
        <v>1491</v>
      </c>
      <c r="H625" s="502"/>
      <c r="I625" s="503"/>
      <c r="J625" s="504">
        <f t="shared" si="190"/>
        <v>0</v>
      </c>
      <c r="K625" s="836"/>
      <c r="L625" s="505"/>
      <c r="M625" s="506"/>
      <c r="N625" s="55"/>
      <c r="O625" s="76"/>
      <c r="P625" s="43"/>
    </row>
    <row r="626" spans="1:16" ht="16.5" customHeight="1">
      <c r="A626" s="305">
        <v>45</v>
      </c>
      <c r="B626" s="115" t="s">
        <v>1492</v>
      </c>
      <c r="C626" s="158" t="s">
        <v>1493</v>
      </c>
      <c r="D626" s="56" t="s">
        <v>1494</v>
      </c>
      <c r="E626" s="754"/>
      <c r="F626" s="742"/>
      <c r="G626" s="845" t="s">
        <v>1495</v>
      </c>
      <c r="H626" s="46" t="s">
        <v>39</v>
      </c>
      <c r="I626" s="47">
        <v>40</v>
      </c>
      <c r="J626" s="181">
        <f t="shared" si="190"/>
        <v>0</v>
      </c>
      <c r="K626" s="812"/>
      <c r="L626" s="177">
        <f t="shared" ref="L626:L629" si="202">K626/48</f>
        <v>0</v>
      </c>
      <c r="M626" s="89">
        <f t="shared" ref="M626:M630" si="203">I626*K626</f>
        <v>0</v>
      </c>
      <c r="N626" s="55">
        <v>15.66</v>
      </c>
      <c r="O626" s="42">
        <f t="shared" ref="O626:O630" si="204">(K626-N626)/N626</f>
        <v>-1</v>
      </c>
      <c r="P626" s="43">
        <v>14.43</v>
      </c>
    </row>
    <row r="627" spans="1:16" ht="24">
      <c r="A627" s="305">
        <v>46</v>
      </c>
      <c r="B627" s="119" t="s">
        <v>1496</v>
      </c>
      <c r="C627" s="161" t="s">
        <v>1497</v>
      </c>
      <c r="D627" s="319" t="s">
        <v>1494</v>
      </c>
      <c r="E627" s="757"/>
      <c r="F627" s="758"/>
      <c r="G627" s="849" t="s">
        <v>1498</v>
      </c>
      <c r="H627" s="120" t="s">
        <v>39</v>
      </c>
      <c r="I627" s="121">
        <v>5</v>
      </c>
      <c r="J627" s="127">
        <f t="shared" si="190"/>
        <v>0</v>
      </c>
      <c r="K627" s="810"/>
      <c r="L627" s="315">
        <f t="shared" si="202"/>
        <v>0</v>
      </c>
      <c r="M627" s="122">
        <f t="shared" si="203"/>
        <v>0</v>
      </c>
      <c r="N627" s="55">
        <v>15.66</v>
      </c>
      <c r="O627" s="42">
        <f t="shared" si="204"/>
        <v>-1</v>
      </c>
      <c r="P627" s="43">
        <v>15.13</v>
      </c>
    </row>
    <row r="628" spans="1:16" ht="24">
      <c r="A628" s="305">
        <v>47</v>
      </c>
      <c r="B628" s="119" t="s">
        <v>1499</v>
      </c>
      <c r="C628" s="161" t="s">
        <v>1500</v>
      </c>
      <c r="D628" s="319" t="s">
        <v>1494</v>
      </c>
      <c r="E628" s="757"/>
      <c r="F628" s="758"/>
      <c r="G628" s="849" t="s">
        <v>1501</v>
      </c>
      <c r="H628" s="120" t="s">
        <v>39</v>
      </c>
      <c r="I628" s="121">
        <v>4</v>
      </c>
      <c r="J628" s="127">
        <f t="shared" si="190"/>
        <v>0</v>
      </c>
      <c r="K628" s="810"/>
      <c r="L628" s="315">
        <f t="shared" si="202"/>
        <v>0</v>
      </c>
      <c r="M628" s="122">
        <f t="shared" si="203"/>
        <v>0</v>
      </c>
      <c r="N628" s="55">
        <v>25.34</v>
      </c>
      <c r="O628" s="42">
        <f t="shared" si="204"/>
        <v>-1</v>
      </c>
      <c r="P628" s="43">
        <v>22.71</v>
      </c>
    </row>
    <row r="629" spans="1:16" ht="24">
      <c r="A629" s="305">
        <v>48</v>
      </c>
      <c r="B629" s="119" t="s">
        <v>1502</v>
      </c>
      <c r="C629" s="161" t="s">
        <v>1503</v>
      </c>
      <c r="D629" s="319" t="s">
        <v>1504</v>
      </c>
      <c r="E629" s="757"/>
      <c r="F629" s="758"/>
      <c r="G629" s="849" t="s">
        <v>1505</v>
      </c>
      <c r="H629" s="120" t="s">
        <v>39</v>
      </c>
      <c r="I629" s="121">
        <v>5</v>
      </c>
      <c r="J629" s="127">
        <f t="shared" si="190"/>
        <v>0</v>
      </c>
      <c r="K629" s="810"/>
      <c r="L629" s="315">
        <f t="shared" si="202"/>
        <v>0</v>
      </c>
      <c r="M629" s="122">
        <f t="shared" si="203"/>
        <v>0</v>
      </c>
      <c r="N629" s="55">
        <v>25.34</v>
      </c>
      <c r="O629" s="42">
        <f t="shared" si="204"/>
        <v>-1</v>
      </c>
      <c r="P629" s="43">
        <v>22.71</v>
      </c>
    </row>
    <row r="630" spans="1:16" ht="16.5" customHeight="1">
      <c r="A630" s="305">
        <v>49</v>
      </c>
      <c r="B630" s="53" t="s">
        <v>1506</v>
      </c>
      <c r="C630" s="108" t="s">
        <v>1507</v>
      </c>
      <c r="D630" s="54" t="s">
        <v>1508</v>
      </c>
      <c r="E630" s="753"/>
      <c r="F630" s="740"/>
      <c r="G630" s="844" t="s">
        <v>1509</v>
      </c>
      <c r="H630" s="36" t="s">
        <v>39</v>
      </c>
      <c r="I630" s="37">
        <v>12</v>
      </c>
      <c r="J630" s="88">
        <f t="shared" si="190"/>
        <v>0</v>
      </c>
      <c r="K630" s="811"/>
      <c r="L630" s="136">
        <f>K630/96</f>
        <v>0</v>
      </c>
      <c r="M630" s="40">
        <f t="shared" si="203"/>
        <v>0</v>
      </c>
      <c r="N630" s="55">
        <v>34.520000000000003</v>
      </c>
      <c r="O630" s="42">
        <f t="shared" si="204"/>
        <v>-1</v>
      </c>
      <c r="P630" s="43">
        <v>31.43</v>
      </c>
    </row>
    <row r="631" spans="1:16" ht="16.5" customHeight="1">
      <c r="A631" s="90"/>
      <c r="B631" s="115"/>
      <c r="C631" s="158" t="s">
        <v>1510</v>
      </c>
      <c r="D631" s="110"/>
      <c r="E631" s="754"/>
      <c r="F631" s="742"/>
      <c r="G631" s="845"/>
      <c r="H631" s="46"/>
      <c r="I631" s="47"/>
      <c r="J631" s="181">
        <f t="shared" si="190"/>
        <v>0</v>
      </c>
      <c r="K631" s="812"/>
      <c r="L631" s="177"/>
      <c r="M631" s="223"/>
      <c r="N631" s="55"/>
      <c r="O631" s="76"/>
      <c r="P631" s="52"/>
    </row>
    <row r="632" spans="1:16" ht="24">
      <c r="A632" s="305">
        <v>50</v>
      </c>
      <c r="B632" s="119" t="s">
        <v>1511</v>
      </c>
      <c r="C632" s="161" t="s">
        <v>1512</v>
      </c>
      <c r="D632" s="319" t="s">
        <v>1513</v>
      </c>
      <c r="E632" s="757"/>
      <c r="F632" s="758"/>
      <c r="G632" s="849" t="s">
        <v>1514</v>
      </c>
      <c r="H632" s="120" t="s">
        <v>39</v>
      </c>
      <c r="I632" s="121">
        <v>2</v>
      </c>
      <c r="J632" s="127">
        <f t="shared" si="190"/>
        <v>0</v>
      </c>
      <c r="K632" s="810"/>
      <c r="L632" s="315">
        <f t="shared" ref="L632:L633" si="205">K632/144</f>
        <v>0</v>
      </c>
      <c r="M632" s="122">
        <f t="shared" ref="M632:M633" si="206">I632*K632</f>
        <v>0</v>
      </c>
      <c r="N632" s="55">
        <v>52.68</v>
      </c>
      <c r="O632" s="42">
        <f t="shared" ref="O632:O638" si="207">(K632-N632)/N632</f>
        <v>-1</v>
      </c>
      <c r="P632" s="43">
        <v>48.82</v>
      </c>
    </row>
    <row r="633" spans="1:16" ht="24">
      <c r="A633" s="305">
        <v>51</v>
      </c>
      <c r="B633" s="115" t="s">
        <v>1515</v>
      </c>
      <c r="C633" s="123" t="s">
        <v>1516</v>
      </c>
      <c r="D633" s="62" t="s">
        <v>1513</v>
      </c>
      <c r="E633" s="755"/>
      <c r="F633" s="750"/>
      <c r="G633" s="840" t="s">
        <v>1517</v>
      </c>
      <c r="H633" s="113" t="s">
        <v>39</v>
      </c>
      <c r="I633" s="64">
        <v>2</v>
      </c>
      <c r="J633" s="290">
        <f t="shared" si="190"/>
        <v>0</v>
      </c>
      <c r="K633" s="813"/>
      <c r="L633" s="143">
        <f t="shared" si="205"/>
        <v>0</v>
      </c>
      <c r="M633" s="58">
        <f t="shared" si="206"/>
        <v>0</v>
      </c>
      <c r="N633" s="55">
        <v>60.99</v>
      </c>
      <c r="O633" s="42">
        <f t="shared" si="207"/>
        <v>-1</v>
      </c>
      <c r="P633" s="43">
        <v>57.6</v>
      </c>
    </row>
    <row r="634" spans="1:16" ht="15.75" customHeight="1">
      <c r="A634" s="226">
        <v>52</v>
      </c>
      <c r="B634" s="354" t="s">
        <v>1518</v>
      </c>
      <c r="C634" s="475" t="s">
        <v>1519</v>
      </c>
      <c r="D634" s="54" t="s">
        <v>1520</v>
      </c>
      <c r="E634" s="753"/>
      <c r="F634" s="740"/>
      <c r="G634" s="839" t="s">
        <v>1521</v>
      </c>
      <c r="H634" s="36" t="s">
        <v>39</v>
      </c>
      <c r="I634" s="37">
        <v>20</v>
      </c>
      <c r="J634" s="88">
        <f t="shared" si="190"/>
        <v>0</v>
      </c>
      <c r="K634" s="811"/>
      <c r="L634" s="136">
        <f t="shared" ref="L634:L636" si="208">K634/48</f>
        <v>0</v>
      </c>
      <c r="M634" s="186">
        <f t="shared" ref="M634:M636" si="209">K634*I634</f>
        <v>0</v>
      </c>
      <c r="N634" s="55">
        <v>15.2</v>
      </c>
      <c r="O634" s="42">
        <f t="shared" si="207"/>
        <v>-1</v>
      </c>
      <c r="P634" s="52">
        <v>14.7</v>
      </c>
    </row>
    <row r="635" spans="1:16" ht="16.5" customHeight="1">
      <c r="A635" s="226">
        <v>53</v>
      </c>
      <c r="B635" s="354"/>
      <c r="C635" s="476" t="s">
        <v>1522</v>
      </c>
      <c r="D635" s="62" t="s">
        <v>1520</v>
      </c>
      <c r="E635" s="755"/>
      <c r="F635" s="750"/>
      <c r="G635" s="851" t="s">
        <v>1523</v>
      </c>
      <c r="H635" s="113" t="s">
        <v>39</v>
      </c>
      <c r="I635" s="64">
        <v>20</v>
      </c>
      <c r="J635" s="290">
        <f t="shared" si="190"/>
        <v>0</v>
      </c>
      <c r="K635" s="813"/>
      <c r="L635" s="143">
        <f t="shared" si="208"/>
        <v>0</v>
      </c>
      <c r="M635" s="187">
        <f t="shared" si="209"/>
        <v>0</v>
      </c>
      <c r="N635" s="55">
        <v>15.1</v>
      </c>
      <c r="O635" s="42">
        <f t="shared" si="207"/>
        <v>-1</v>
      </c>
      <c r="P635" s="43">
        <v>14.7</v>
      </c>
    </row>
    <row r="636" spans="1:16" ht="16.5" customHeight="1">
      <c r="A636" s="226">
        <v>54</v>
      </c>
      <c r="B636" s="354"/>
      <c r="C636" s="476" t="s">
        <v>1524</v>
      </c>
      <c r="D636" s="62" t="s">
        <v>1520</v>
      </c>
      <c r="E636" s="755"/>
      <c r="F636" s="750"/>
      <c r="G636" s="851" t="s">
        <v>1525</v>
      </c>
      <c r="H636" s="113" t="s">
        <v>39</v>
      </c>
      <c r="I636" s="64">
        <v>20</v>
      </c>
      <c r="J636" s="290">
        <f t="shared" si="190"/>
        <v>0</v>
      </c>
      <c r="K636" s="813"/>
      <c r="L636" s="143">
        <f t="shared" si="208"/>
        <v>0</v>
      </c>
      <c r="M636" s="187">
        <f t="shared" si="209"/>
        <v>0</v>
      </c>
      <c r="N636" s="55">
        <v>15.1</v>
      </c>
      <c r="O636" s="42">
        <f t="shared" si="207"/>
        <v>-1</v>
      </c>
      <c r="P636" s="43">
        <v>14.7</v>
      </c>
    </row>
    <row r="637" spans="1:16" ht="16.5" customHeight="1">
      <c r="A637" s="305">
        <v>55</v>
      </c>
      <c r="B637" s="53" t="s">
        <v>1526</v>
      </c>
      <c r="C637" s="108" t="s">
        <v>1527</v>
      </c>
      <c r="D637" s="54" t="s">
        <v>920</v>
      </c>
      <c r="E637" s="753"/>
      <c r="F637" s="740"/>
      <c r="G637" s="839" t="s">
        <v>1528</v>
      </c>
      <c r="H637" s="36" t="s">
        <v>39</v>
      </c>
      <c r="I637" s="37">
        <v>5</v>
      </c>
      <c r="J637" s="88">
        <f t="shared" si="190"/>
        <v>0</v>
      </c>
      <c r="K637" s="811"/>
      <c r="L637" s="136">
        <f t="shared" ref="L637:L638" si="210">K637/24</f>
        <v>0</v>
      </c>
      <c r="M637" s="40">
        <f>I637*K637</f>
        <v>0</v>
      </c>
      <c r="N637" s="494">
        <v>16.559999999999999</v>
      </c>
      <c r="O637" s="42">
        <f t="shared" si="207"/>
        <v>-1</v>
      </c>
      <c r="P637" s="507">
        <v>18.5</v>
      </c>
    </row>
    <row r="638" spans="1:16" ht="16.5" customHeight="1">
      <c r="A638" s="305">
        <v>56</v>
      </c>
      <c r="B638" s="61"/>
      <c r="C638" s="111" t="s">
        <v>1529</v>
      </c>
      <c r="D638" s="62" t="s">
        <v>920</v>
      </c>
      <c r="E638" s="755"/>
      <c r="F638" s="750"/>
      <c r="G638" s="851" t="s">
        <v>1530</v>
      </c>
      <c r="H638" s="113"/>
      <c r="I638" s="64"/>
      <c r="J638" s="290">
        <f t="shared" si="190"/>
        <v>0</v>
      </c>
      <c r="K638" s="813"/>
      <c r="L638" s="143">
        <f t="shared" si="210"/>
        <v>0</v>
      </c>
      <c r="M638" s="219"/>
      <c r="N638" s="55">
        <v>16.559999999999999</v>
      </c>
      <c r="O638" s="42">
        <f t="shared" si="207"/>
        <v>-1</v>
      </c>
      <c r="P638" s="507">
        <v>18.5</v>
      </c>
    </row>
    <row r="639" spans="1:16" ht="16.5" customHeight="1">
      <c r="A639" s="96"/>
      <c r="B639" s="61"/>
      <c r="C639" s="313"/>
      <c r="D639" s="112"/>
      <c r="E639" s="755"/>
      <c r="F639" s="750"/>
      <c r="G639" s="851" t="s">
        <v>42</v>
      </c>
      <c r="H639" s="113"/>
      <c r="I639" s="64"/>
      <c r="J639" s="290">
        <f t="shared" si="190"/>
        <v>0</v>
      </c>
      <c r="K639" s="813"/>
      <c r="L639" s="143"/>
      <c r="M639" s="219"/>
      <c r="N639" s="55"/>
      <c r="O639" s="76"/>
      <c r="P639" s="52"/>
    </row>
    <row r="640" spans="1:16" ht="16.5" customHeight="1">
      <c r="A640" s="305">
        <v>57</v>
      </c>
      <c r="B640" s="32" t="s">
        <v>1531</v>
      </c>
      <c r="C640" s="135" t="s">
        <v>1532</v>
      </c>
      <c r="D640" s="54" t="s">
        <v>1533</v>
      </c>
      <c r="E640" s="753"/>
      <c r="F640" s="740"/>
      <c r="G640" s="839" t="s">
        <v>1534</v>
      </c>
      <c r="H640" s="36" t="s">
        <v>39</v>
      </c>
      <c r="I640" s="169">
        <v>10</v>
      </c>
      <c r="J640" s="88">
        <f t="shared" si="190"/>
        <v>0</v>
      </c>
      <c r="K640" s="811"/>
      <c r="L640" s="136">
        <f t="shared" ref="L640:L641" si="211">K640/18</f>
        <v>0</v>
      </c>
      <c r="M640" s="40">
        <f>I640*K640</f>
        <v>0</v>
      </c>
      <c r="N640" s="55"/>
      <c r="O640" s="42"/>
      <c r="P640" s="43"/>
    </row>
    <row r="641" spans="1:16" ht="16.5" customHeight="1">
      <c r="A641" s="305">
        <v>58</v>
      </c>
      <c r="B641" s="61"/>
      <c r="C641" s="111" t="s">
        <v>1535</v>
      </c>
      <c r="D641" s="62" t="s">
        <v>1533</v>
      </c>
      <c r="E641" s="755"/>
      <c r="F641" s="750"/>
      <c r="G641" s="851" t="s">
        <v>1536</v>
      </c>
      <c r="H641" s="113"/>
      <c r="I641" s="64"/>
      <c r="J641" s="290">
        <f t="shared" si="190"/>
        <v>0</v>
      </c>
      <c r="K641" s="813"/>
      <c r="L641" s="143">
        <f t="shared" si="211"/>
        <v>0</v>
      </c>
      <c r="M641" s="219"/>
      <c r="N641" s="55"/>
      <c r="O641" s="42"/>
      <c r="P641" s="43"/>
    </row>
    <row r="642" spans="1:16" ht="16.5" customHeight="1">
      <c r="A642" s="305"/>
      <c r="B642" s="115"/>
      <c r="C642" s="222"/>
      <c r="D642" s="110"/>
      <c r="E642" s="754"/>
      <c r="F642" s="742"/>
      <c r="G642" s="852" t="s">
        <v>42</v>
      </c>
      <c r="H642" s="46"/>
      <c r="I642" s="47"/>
      <c r="J642" s="181">
        <f t="shared" si="190"/>
        <v>0</v>
      </c>
      <c r="K642" s="812"/>
      <c r="L642" s="177"/>
      <c r="M642" s="223"/>
      <c r="N642" s="55"/>
      <c r="O642" s="42"/>
      <c r="P642" s="43"/>
    </row>
    <row r="643" spans="1:16" ht="16.5" customHeight="1">
      <c r="A643" s="226">
        <v>59</v>
      </c>
      <c r="B643" s="61" t="s">
        <v>1537</v>
      </c>
      <c r="C643" s="172" t="s">
        <v>1538</v>
      </c>
      <c r="D643" s="62" t="s">
        <v>1539</v>
      </c>
      <c r="E643" s="775"/>
      <c r="F643" s="750"/>
      <c r="G643" s="851" t="s">
        <v>854</v>
      </c>
      <c r="H643" s="113" t="s">
        <v>1540</v>
      </c>
      <c r="I643" s="64">
        <v>1</v>
      </c>
      <c r="J643" s="183">
        <f t="shared" si="190"/>
        <v>0</v>
      </c>
      <c r="K643" s="805"/>
      <c r="L643" s="308">
        <f>K643/16</f>
        <v>0</v>
      </c>
      <c r="M643" s="58">
        <f>K643*I643</f>
        <v>0</v>
      </c>
      <c r="N643" s="55">
        <v>12.9</v>
      </c>
      <c r="O643" s="42">
        <f>(K643-N643)/N643</f>
        <v>-1</v>
      </c>
      <c r="P643" s="43">
        <v>12.9</v>
      </c>
    </row>
    <row r="644" spans="1:16" ht="16.5" customHeight="1">
      <c r="A644" s="31"/>
      <c r="B644" s="115"/>
      <c r="C644" s="222"/>
      <c r="D644" s="110"/>
      <c r="E644" s="752"/>
      <c r="F644" s="921"/>
      <c r="G644" s="852" t="s">
        <v>1541</v>
      </c>
      <c r="H644" s="508"/>
      <c r="I644" s="293"/>
      <c r="J644" s="38">
        <f t="shared" si="190"/>
        <v>0</v>
      </c>
      <c r="K644" s="805"/>
      <c r="L644" s="309" t="s">
        <v>123</v>
      </c>
      <c r="M644" s="89"/>
      <c r="N644" s="55"/>
      <c r="O644" s="51"/>
      <c r="P644" s="52"/>
    </row>
    <row r="645" spans="1:16" ht="16.5" customHeight="1">
      <c r="A645" s="226">
        <v>60</v>
      </c>
      <c r="B645" s="53" t="s">
        <v>1542</v>
      </c>
      <c r="C645" s="108" t="s">
        <v>1543</v>
      </c>
      <c r="D645" s="54" t="s">
        <v>1544</v>
      </c>
      <c r="E645" s="748"/>
      <c r="F645" s="740"/>
      <c r="G645" s="839" t="s">
        <v>854</v>
      </c>
      <c r="H645" s="36" t="s">
        <v>1540</v>
      </c>
      <c r="I645" s="37">
        <v>1</v>
      </c>
      <c r="J645" s="38">
        <f t="shared" si="190"/>
        <v>0</v>
      </c>
      <c r="K645" s="806"/>
      <c r="L645" s="300">
        <f>K645/5</f>
        <v>0</v>
      </c>
      <c r="M645" s="40"/>
      <c r="N645" s="55">
        <v>2.76</v>
      </c>
      <c r="O645" s="76"/>
      <c r="P645" s="52"/>
    </row>
    <row r="646" spans="1:16" ht="16.5" customHeight="1">
      <c r="A646" s="31"/>
      <c r="B646" s="115"/>
      <c r="C646" s="222"/>
      <c r="D646" s="110"/>
      <c r="E646" s="752"/>
      <c r="F646" s="742"/>
      <c r="G646" s="852"/>
      <c r="H646" s="508"/>
      <c r="I646" s="293"/>
      <c r="J646" s="38">
        <f t="shared" si="190"/>
        <v>0</v>
      </c>
      <c r="K646" s="807"/>
      <c r="L646" s="309" t="s">
        <v>123</v>
      </c>
      <c r="M646" s="89"/>
      <c r="N646" s="55">
        <v>2.76</v>
      </c>
      <c r="O646" s="76"/>
      <c r="P646" s="52"/>
    </row>
    <row r="647" spans="1:16" ht="16.5" customHeight="1">
      <c r="A647" s="226">
        <v>61</v>
      </c>
      <c r="B647" s="53" t="s">
        <v>1545</v>
      </c>
      <c r="C647" s="108" t="s">
        <v>1546</v>
      </c>
      <c r="D647" s="54" t="s">
        <v>1539</v>
      </c>
      <c r="E647" s="748"/>
      <c r="F647" s="740"/>
      <c r="G647" s="839" t="s">
        <v>1547</v>
      </c>
      <c r="H647" s="36" t="s">
        <v>1540</v>
      </c>
      <c r="I647" s="37">
        <v>8</v>
      </c>
      <c r="J647" s="38">
        <f t="shared" si="190"/>
        <v>0</v>
      </c>
      <c r="K647" s="805"/>
      <c r="L647" s="300">
        <f>K647/16</f>
        <v>0</v>
      </c>
      <c r="M647" s="40">
        <f>K647*I647</f>
        <v>0</v>
      </c>
      <c r="N647" s="55">
        <v>6.29</v>
      </c>
      <c r="O647" s="42">
        <f>(K647-N647)/N647</f>
        <v>-1</v>
      </c>
      <c r="P647" s="43">
        <v>7.66</v>
      </c>
    </row>
    <row r="648" spans="1:16" ht="16.5" customHeight="1">
      <c r="A648" s="31"/>
      <c r="B648" s="115"/>
      <c r="C648" s="222"/>
      <c r="D648" s="110"/>
      <c r="E648" s="752"/>
      <c r="F648" s="742"/>
      <c r="G648" s="852" t="s">
        <v>1548</v>
      </c>
      <c r="H648" s="508"/>
      <c r="I648" s="293"/>
      <c r="J648" s="38">
        <f t="shared" si="190"/>
        <v>0</v>
      </c>
      <c r="K648" s="805"/>
      <c r="L648" s="309" t="s">
        <v>123</v>
      </c>
      <c r="M648" s="89"/>
      <c r="N648" s="55"/>
      <c r="O648" s="51"/>
      <c r="P648" s="52"/>
    </row>
    <row r="649" spans="1:16" ht="16.5" customHeight="1">
      <c r="A649" s="226">
        <v>62</v>
      </c>
      <c r="B649" s="53" t="s">
        <v>1549</v>
      </c>
      <c r="C649" s="108" t="s">
        <v>1550</v>
      </c>
      <c r="D649" s="54" t="s">
        <v>1539</v>
      </c>
      <c r="E649" s="748"/>
      <c r="F649" s="740"/>
      <c r="G649" s="839" t="s">
        <v>854</v>
      </c>
      <c r="H649" s="36" t="s">
        <v>1540</v>
      </c>
      <c r="I649" s="37">
        <v>35</v>
      </c>
      <c r="J649" s="38">
        <f t="shared" si="190"/>
        <v>0</v>
      </c>
      <c r="K649" s="806"/>
      <c r="L649" s="300">
        <f>K649/18</f>
        <v>0</v>
      </c>
      <c r="M649" s="40">
        <f>I649*K649</f>
        <v>0</v>
      </c>
      <c r="N649" s="55">
        <v>4.79</v>
      </c>
      <c r="O649" s="42">
        <f>(K649-N649)/N649</f>
        <v>-1</v>
      </c>
      <c r="P649" s="43">
        <v>5.86</v>
      </c>
    </row>
    <row r="650" spans="1:16" ht="16.5" customHeight="1">
      <c r="A650" s="31"/>
      <c r="B650" s="115"/>
      <c r="C650" s="222"/>
      <c r="D650" s="110"/>
      <c r="E650" s="752"/>
      <c r="F650" s="742"/>
      <c r="G650" s="852" t="s">
        <v>1551</v>
      </c>
      <c r="H650" s="46"/>
      <c r="I650" s="47"/>
      <c r="J650" s="38">
        <f t="shared" si="190"/>
        <v>0</v>
      </c>
      <c r="K650" s="807"/>
      <c r="L650" s="309" t="s">
        <v>123</v>
      </c>
      <c r="M650" s="89"/>
      <c r="N650" s="55"/>
      <c r="O650" s="51"/>
      <c r="P650" s="52"/>
    </row>
    <row r="651" spans="1:16" ht="20.25" customHeight="1">
      <c r="A651" s="226">
        <v>63</v>
      </c>
      <c r="B651" s="61" t="s">
        <v>1552</v>
      </c>
      <c r="C651" s="172" t="s">
        <v>1553</v>
      </c>
      <c r="D651" s="62" t="s">
        <v>1554</v>
      </c>
      <c r="E651" s="756"/>
      <c r="F651" s="750"/>
      <c r="G651" s="839" t="s">
        <v>854</v>
      </c>
      <c r="H651" s="36" t="s">
        <v>1540</v>
      </c>
      <c r="I651" s="64">
        <v>1</v>
      </c>
      <c r="J651" s="38">
        <f t="shared" si="190"/>
        <v>0</v>
      </c>
      <c r="K651" s="805"/>
      <c r="L651" s="301">
        <f>K651/24</f>
        <v>0</v>
      </c>
      <c r="M651" s="58">
        <f>I651*K651</f>
        <v>0</v>
      </c>
      <c r="N651" s="55">
        <v>11.94</v>
      </c>
      <c r="O651" s="42">
        <f>(K651-N651)/N651</f>
        <v>-1</v>
      </c>
      <c r="P651" s="43">
        <v>14.6</v>
      </c>
    </row>
    <row r="652" spans="1:16" ht="16.5" customHeight="1">
      <c r="A652" s="31"/>
      <c r="B652" s="61"/>
      <c r="C652" s="179"/>
      <c r="D652" s="112"/>
      <c r="E652" s="756"/>
      <c r="F652" s="750"/>
      <c r="G652" s="851" t="s">
        <v>1555</v>
      </c>
      <c r="H652" s="113"/>
      <c r="I652" s="64"/>
      <c r="J652" s="38">
        <f t="shared" si="190"/>
        <v>0</v>
      </c>
      <c r="K652" s="805"/>
      <c r="L652" s="301"/>
      <c r="M652" s="58"/>
      <c r="N652" s="55"/>
      <c r="O652" s="51"/>
      <c r="P652" s="43"/>
    </row>
    <row r="653" spans="1:16" ht="16.5" customHeight="1">
      <c r="A653" s="226">
        <v>64</v>
      </c>
      <c r="B653" s="53" t="s">
        <v>1556</v>
      </c>
      <c r="C653" s="108" t="s">
        <v>1557</v>
      </c>
      <c r="D653" s="54" t="s">
        <v>1539</v>
      </c>
      <c r="E653" s="748"/>
      <c r="F653" s="740"/>
      <c r="G653" s="839" t="s">
        <v>854</v>
      </c>
      <c r="H653" s="36" t="s">
        <v>1540</v>
      </c>
      <c r="I653" s="37">
        <v>7</v>
      </c>
      <c r="J653" s="38">
        <f t="shared" si="190"/>
        <v>0</v>
      </c>
      <c r="K653" s="806"/>
      <c r="L653" s="300">
        <f>K653/16</f>
        <v>0</v>
      </c>
      <c r="M653" s="40">
        <f>(I653*K653)</f>
        <v>0</v>
      </c>
      <c r="N653" s="55">
        <v>5.54</v>
      </c>
      <c r="O653" s="42">
        <f>(K653-N653)/N653</f>
        <v>-1</v>
      </c>
      <c r="P653" s="43">
        <v>6.77</v>
      </c>
    </row>
    <row r="654" spans="1:16" ht="16.5" customHeight="1">
      <c r="A654" s="31"/>
      <c r="B654" s="115"/>
      <c r="C654" s="222"/>
      <c r="D654" s="110"/>
      <c r="E654" s="752"/>
      <c r="F654" s="742"/>
      <c r="G654" s="852" t="s">
        <v>1558</v>
      </c>
      <c r="H654" s="46"/>
      <c r="I654" s="47"/>
      <c r="J654" s="38">
        <f t="shared" si="190"/>
        <v>0</v>
      </c>
      <c r="K654" s="807"/>
      <c r="L654" s="309" t="s">
        <v>123</v>
      </c>
      <c r="M654" s="89"/>
      <c r="N654" s="55"/>
      <c r="O654" s="51"/>
      <c r="P654" s="52"/>
    </row>
    <row r="655" spans="1:16" ht="16.5" customHeight="1">
      <c r="A655" s="226">
        <v>65</v>
      </c>
      <c r="B655" s="53" t="s">
        <v>1559</v>
      </c>
      <c r="C655" s="108" t="s">
        <v>1560</v>
      </c>
      <c r="D655" s="54" t="s">
        <v>1561</v>
      </c>
      <c r="E655" s="748"/>
      <c r="F655" s="740"/>
      <c r="G655" s="839" t="s">
        <v>854</v>
      </c>
      <c r="H655" s="36" t="s">
        <v>1540</v>
      </c>
      <c r="I655" s="37">
        <v>7</v>
      </c>
      <c r="J655" s="38">
        <f t="shared" si="190"/>
        <v>0</v>
      </c>
      <c r="K655" s="805"/>
      <c r="L655" s="300">
        <f>K655/16</f>
        <v>0</v>
      </c>
      <c r="M655" s="40">
        <f>(I655*K655)</f>
        <v>0</v>
      </c>
      <c r="N655" s="55">
        <v>6.46</v>
      </c>
      <c r="O655" s="42">
        <f>(K655-N655)/N655</f>
        <v>-1</v>
      </c>
      <c r="P655" s="43">
        <v>7.95</v>
      </c>
    </row>
    <row r="656" spans="1:16" ht="16.5" customHeight="1">
      <c r="A656" s="31"/>
      <c r="B656" s="115"/>
      <c r="C656" s="222"/>
      <c r="D656" s="110"/>
      <c r="E656" s="752"/>
      <c r="F656" s="742"/>
      <c r="G656" s="852" t="s">
        <v>1562</v>
      </c>
      <c r="H656" s="46"/>
      <c r="I656" s="47"/>
      <c r="J656" s="38">
        <f t="shared" si="190"/>
        <v>0</v>
      </c>
      <c r="K656" s="805"/>
      <c r="L656" s="309" t="s">
        <v>123</v>
      </c>
      <c r="M656" s="89"/>
      <c r="N656" s="55"/>
      <c r="O656" s="51"/>
      <c r="P656" s="52"/>
    </row>
    <row r="657" spans="1:16" ht="16.5" customHeight="1">
      <c r="A657" s="226">
        <v>66</v>
      </c>
      <c r="B657" s="53" t="s">
        <v>1563</v>
      </c>
      <c r="C657" s="108" t="s">
        <v>1564</v>
      </c>
      <c r="D657" s="54" t="s">
        <v>1565</v>
      </c>
      <c r="E657" s="748"/>
      <c r="F657" s="740"/>
      <c r="G657" s="839" t="s">
        <v>854</v>
      </c>
      <c r="H657" s="36" t="s">
        <v>1540</v>
      </c>
      <c r="I657" s="37">
        <v>1</v>
      </c>
      <c r="J657" s="38">
        <f t="shared" si="190"/>
        <v>0</v>
      </c>
      <c r="K657" s="806"/>
      <c r="L657" s="300">
        <f>K657/14</f>
        <v>0</v>
      </c>
      <c r="M657" s="40">
        <f>(I657*K657)</f>
        <v>0</v>
      </c>
      <c r="N657" s="55">
        <v>8.25</v>
      </c>
      <c r="O657" s="42">
        <f>(K657-N657)/N657</f>
        <v>-1</v>
      </c>
      <c r="P657" s="43">
        <v>4.82</v>
      </c>
    </row>
    <row r="658" spans="1:16" ht="16.5" customHeight="1">
      <c r="A658" s="31"/>
      <c r="B658" s="115"/>
      <c r="C658" s="222"/>
      <c r="D658" s="110"/>
      <c r="E658" s="752"/>
      <c r="F658" s="742"/>
      <c r="G658" s="852" t="s">
        <v>1566</v>
      </c>
      <c r="H658" s="46"/>
      <c r="I658" s="47"/>
      <c r="J658" s="38">
        <f t="shared" si="190"/>
        <v>0</v>
      </c>
      <c r="K658" s="807"/>
      <c r="L658" s="309" t="s">
        <v>123</v>
      </c>
      <c r="M658" s="89"/>
      <c r="N658" s="55"/>
      <c r="O658" s="76"/>
      <c r="P658" s="52"/>
    </row>
    <row r="659" spans="1:16" ht="15.75" customHeight="1">
      <c r="A659" s="226">
        <v>67</v>
      </c>
      <c r="B659" s="544" t="s">
        <v>1567</v>
      </c>
      <c r="C659" s="108" t="s">
        <v>1568</v>
      </c>
      <c r="D659" s="54" t="s">
        <v>1569</v>
      </c>
      <c r="E659" s="748"/>
      <c r="F659" s="740"/>
      <c r="G659" s="839" t="s">
        <v>854</v>
      </c>
      <c r="H659" s="36" t="s">
        <v>1540</v>
      </c>
      <c r="I659" s="37">
        <v>4</v>
      </c>
      <c r="J659" s="38">
        <f t="shared" si="190"/>
        <v>0</v>
      </c>
      <c r="K659" s="805"/>
      <c r="L659" s="300">
        <f>K659/6</f>
        <v>0</v>
      </c>
      <c r="M659" s="40">
        <f>I659*K659</f>
        <v>0</v>
      </c>
      <c r="N659" s="55">
        <v>3.46</v>
      </c>
      <c r="O659" s="42">
        <f>(K659-N659)/N659</f>
        <v>-1</v>
      </c>
      <c r="P659" s="43">
        <v>4.2</v>
      </c>
    </row>
    <row r="660" spans="1:16" ht="16.5" customHeight="1">
      <c r="A660" s="31"/>
      <c r="B660" s="545"/>
      <c r="C660" s="222"/>
      <c r="D660" s="110"/>
      <c r="E660" s="752"/>
      <c r="F660" s="742"/>
      <c r="G660" s="852" t="s">
        <v>1570</v>
      </c>
      <c r="H660" s="46"/>
      <c r="I660" s="47"/>
      <c r="J660" s="38">
        <f t="shared" si="190"/>
        <v>0</v>
      </c>
      <c r="K660" s="805"/>
      <c r="L660" s="309" t="s">
        <v>123</v>
      </c>
      <c r="M660" s="89"/>
      <c r="N660" s="55"/>
      <c r="O660" s="76"/>
      <c r="P660" s="52"/>
    </row>
    <row r="661" spans="1:16" ht="24">
      <c r="A661" s="226">
        <v>68</v>
      </c>
      <c r="B661" s="61" t="s">
        <v>1571</v>
      </c>
      <c r="C661" s="172" t="s">
        <v>1572</v>
      </c>
      <c r="D661" s="62" t="s">
        <v>1573</v>
      </c>
      <c r="E661" s="756"/>
      <c r="F661" s="750"/>
      <c r="G661" s="864" t="s">
        <v>1574</v>
      </c>
      <c r="H661" s="113" t="s">
        <v>1540</v>
      </c>
      <c r="I661" s="64">
        <v>5</v>
      </c>
      <c r="J661" s="38">
        <f t="shared" si="190"/>
        <v>0</v>
      </c>
      <c r="K661" s="837"/>
      <c r="L661" s="301">
        <f>K661/29</f>
        <v>0</v>
      </c>
      <c r="M661" s="58">
        <f>K661*I661</f>
        <v>0</v>
      </c>
      <c r="N661" s="55">
        <v>10.16</v>
      </c>
      <c r="O661" s="42">
        <f t="shared" ref="O661:O662" si="212">(K661-N661)/N661</f>
        <v>-1</v>
      </c>
      <c r="P661" s="43">
        <v>10.16</v>
      </c>
    </row>
    <row r="662" spans="1:16" ht="15.75">
      <c r="A662" s="226">
        <v>69</v>
      </c>
      <c r="B662" s="544" t="s">
        <v>1575</v>
      </c>
      <c r="C662" s="108" t="s">
        <v>1576</v>
      </c>
      <c r="D662" s="225"/>
      <c r="E662" s="748"/>
      <c r="F662" s="740"/>
      <c r="G662" s="839" t="s">
        <v>854</v>
      </c>
      <c r="H662" s="36" t="s">
        <v>1540</v>
      </c>
      <c r="I662" s="37">
        <v>5</v>
      </c>
      <c r="J662" s="38">
        <f t="shared" si="190"/>
        <v>0</v>
      </c>
      <c r="K662" s="805"/>
      <c r="L662" s="300">
        <f>K662/16</f>
        <v>0</v>
      </c>
      <c r="M662" s="40">
        <f>I662*K662</f>
        <v>0</v>
      </c>
      <c r="N662" s="55">
        <v>4.0599999999999996</v>
      </c>
      <c r="O662" s="42">
        <f t="shared" si="212"/>
        <v>-1</v>
      </c>
      <c r="P662" s="43">
        <v>4.95</v>
      </c>
    </row>
    <row r="663" spans="1:16" ht="15.75">
      <c r="A663" s="31"/>
      <c r="B663" s="545"/>
      <c r="C663" s="222"/>
      <c r="D663" s="56" t="s">
        <v>1539</v>
      </c>
      <c r="E663" s="752"/>
      <c r="F663" s="742"/>
      <c r="G663" s="852" t="s">
        <v>1577</v>
      </c>
      <c r="H663" s="46"/>
      <c r="I663" s="47"/>
      <c r="J663" s="38">
        <f t="shared" si="190"/>
        <v>0</v>
      </c>
      <c r="K663" s="805"/>
      <c r="L663" s="309" t="s">
        <v>123</v>
      </c>
      <c r="M663" s="89"/>
      <c r="N663" s="55"/>
      <c r="O663" s="51"/>
      <c r="P663" s="52"/>
    </row>
    <row r="664" spans="1:16" ht="16.5" customHeight="1">
      <c r="A664" s="226">
        <v>70</v>
      </c>
      <c r="B664" s="53" t="s">
        <v>1578</v>
      </c>
      <c r="C664" s="108" t="s">
        <v>1579</v>
      </c>
      <c r="D664" s="225"/>
      <c r="E664" s="748"/>
      <c r="F664" s="740"/>
      <c r="G664" s="839" t="s">
        <v>854</v>
      </c>
      <c r="H664" s="36" t="s">
        <v>1540</v>
      </c>
      <c r="I664" s="37">
        <v>1</v>
      </c>
      <c r="J664" s="38">
        <f t="shared" si="190"/>
        <v>0</v>
      </c>
      <c r="K664" s="806"/>
      <c r="L664" s="300">
        <f>K664/16</f>
        <v>0</v>
      </c>
      <c r="M664" s="40">
        <f>I664*K664</f>
        <v>0</v>
      </c>
      <c r="N664" s="55">
        <v>11.66</v>
      </c>
      <c r="O664" s="42">
        <f>(K664-N664)/N664</f>
        <v>-1</v>
      </c>
      <c r="P664" s="43">
        <v>14.38</v>
      </c>
    </row>
    <row r="665" spans="1:16" ht="16.5" customHeight="1">
      <c r="A665" s="31"/>
      <c r="B665" s="115"/>
      <c r="C665" s="222"/>
      <c r="D665" s="56" t="s">
        <v>1539</v>
      </c>
      <c r="E665" s="752"/>
      <c r="F665" s="742"/>
      <c r="G665" s="852" t="s">
        <v>1580</v>
      </c>
      <c r="H665" s="46"/>
      <c r="I665" s="47"/>
      <c r="J665" s="38">
        <f t="shared" si="190"/>
        <v>0</v>
      </c>
      <c r="K665" s="807"/>
      <c r="L665" s="309" t="s">
        <v>123</v>
      </c>
      <c r="M665" s="89"/>
      <c r="N665" s="55"/>
      <c r="O665" s="51"/>
      <c r="P665" s="52"/>
    </row>
    <row r="666" spans="1:16" ht="16.5" customHeight="1">
      <c r="A666" s="226">
        <v>71</v>
      </c>
      <c r="B666" s="53" t="s">
        <v>1581</v>
      </c>
      <c r="C666" s="108" t="s">
        <v>1582</v>
      </c>
      <c r="D666" s="54" t="s">
        <v>1308</v>
      </c>
      <c r="E666" s="748"/>
      <c r="F666" s="740"/>
      <c r="G666" s="839" t="s">
        <v>1583</v>
      </c>
      <c r="H666" s="36" t="s">
        <v>1540</v>
      </c>
      <c r="I666" s="37">
        <v>5</v>
      </c>
      <c r="J666" s="38">
        <f t="shared" si="190"/>
        <v>0</v>
      </c>
      <c r="K666" s="805"/>
      <c r="L666" s="300">
        <f>K666/240</f>
        <v>0</v>
      </c>
      <c r="M666" s="40">
        <f>I666*K666</f>
        <v>0</v>
      </c>
      <c r="N666" s="55">
        <v>32.659999999999997</v>
      </c>
      <c r="O666" s="42">
        <f>(K666-N666)/N666</f>
        <v>-1</v>
      </c>
      <c r="P666" s="43">
        <v>33.25</v>
      </c>
    </row>
    <row r="667" spans="1:16" ht="16.5" customHeight="1">
      <c r="A667" s="31"/>
      <c r="B667" s="115"/>
      <c r="C667" s="222"/>
      <c r="D667" s="110"/>
      <c r="E667" s="752"/>
      <c r="F667" s="742"/>
      <c r="G667" s="852" t="s">
        <v>42</v>
      </c>
      <c r="H667" s="46"/>
      <c r="I667" s="47"/>
      <c r="J667" s="38">
        <f t="shared" si="190"/>
        <v>0</v>
      </c>
      <c r="K667" s="805"/>
      <c r="L667" s="309" t="s">
        <v>123</v>
      </c>
      <c r="M667" s="89"/>
      <c r="N667" s="55"/>
      <c r="O667" s="51"/>
      <c r="P667" s="52"/>
    </row>
    <row r="668" spans="1:16" ht="16.5" customHeight="1">
      <c r="A668" s="226">
        <v>72</v>
      </c>
      <c r="B668" s="53" t="s">
        <v>1584</v>
      </c>
      <c r="C668" s="108" t="s">
        <v>1585</v>
      </c>
      <c r="D668" s="225"/>
      <c r="E668" s="748"/>
      <c r="F668" s="740"/>
      <c r="G668" s="839" t="s">
        <v>854</v>
      </c>
      <c r="H668" s="36" t="s">
        <v>1540</v>
      </c>
      <c r="I668" s="37">
        <v>16</v>
      </c>
      <c r="J668" s="38">
        <f t="shared" si="190"/>
        <v>0</v>
      </c>
      <c r="K668" s="806"/>
      <c r="L668" s="300">
        <f>K668/20</f>
        <v>0</v>
      </c>
      <c r="M668" s="40">
        <f>I668*K668</f>
        <v>0</v>
      </c>
      <c r="N668" s="55">
        <v>5.43</v>
      </c>
      <c r="O668" s="42">
        <f>(K668-N668)/N668</f>
        <v>-1</v>
      </c>
      <c r="P668" s="43">
        <v>6.85</v>
      </c>
    </row>
    <row r="669" spans="1:16" ht="16.5" customHeight="1">
      <c r="A669" s="31"/>
      <c r="B669" s="115"/>
      <c r="C669" s="222"/>
      <c r="D669" s="56" t="s">
        <v>1586</v>
      </c>
      <c r="E669" s="752"/>
      <c r="F669" s="742"/>
      <c r="G669" s="852" t="s">
        <v>1587</v>
      </c>
      <c r="H669" s="46"/>
      <c r="I669" s="47"/>
      <c r="J669" s="38">
        <f t="shared" si="190"/>
        <v>0</v>
      </c>
      <c r="K669" s="807"/>
      <c r="L669" s="309" t="s">
        <v>123</v>
      </c>
      <c r="M669" s="89"/>
      <c r="N669" s="55"/>
      <c r="O669" s="51"/>
      <c r="P669" s="52"/>
    </row>
    <row r="670" spans="1:16" ht="16.5" customHeight="1">
      <c r="A670" s="226">
        <v>73</v>
      </c>
      <c r="B670" s="53" t="s">
        <v>1588</v>
      </c>
      <c r="C670" s="108" t="s">
        <v>1589</v>
      </c>
      <c r="D670" s="225"/>
      <c r="E670" s="748"/>
      <c r="F670" s="740"/>
      <c r="G670" s="839" t="s">
        <v>854</v>
      </c>
      <c r="H670" s="36" t="s">
        <v>39</v>
      </c>
      <c r="I670" s="37">
        <v>2</v>
      </c>
      <c r="J670" s="38">
        <f t="shared" si="190"/>
        <v>0</v>
      </c>
      <c r="K670" s="805"/>
      <c r="L670" s="300">
        <f>K670/5</f>
        <v>0</v>
      </c>
      <c r="M670" s="40">
        <f>I670*K670</f>
        <v>0</v>
      </c>
      <c r="N670" s="55">
        <v>3.06</v>
      </c>
      <c r="O670" s="42">
        <f>(K670-N670)/N670</f>
        <v>-1</v>
      </c>
      <c r="P670" s="43">
        <v>3.71</v>
      </c>
    </row>
    <row r="671" spans="1:16" ht="16.5" customHeight="1">
      <c r="A671" s="31"/>
      <c r="B671" s="115"/>
      <c r="C671" s="222"/>
      <c r="D671" s="56" t="s">
        <v>1544</v>
      </c>
      <c r="E671" s="752"/>
      <c r="F671" s="742"/>
      <c r="G671" s="852" t="s">
        <v>1590</v>
      </c>
      <c r="H671" s="46"/>
      <c r="I671" s="47"/>
      <c r="J671" s="38">
        <f t="shared" si="190"/>
        <v>0</v>
      </c>
      <c r="K671" s="805"/>
      <c r="L671" s="309" t="s">
        <v>123</v>
      </c>
      <c r="M671" s="89"/>
      <c r="N671" s="55"/>
      <c r="O671" s="51"/>
      <c r="P671" s="52"/>
    </row>
    <row r="672" spans="1:16" ht="16.5" customHeight="1">
      <c r="A672" s="226">
        <v>74</v>
      </c>
      <c r="B672" s="53" t="s">
        <v>1591</v>
      </c>
      <c r="C672" s="108" t="s">
        <v>1592</v>
      </c>
      <c r="D672" s="225"/>
      <c r="E672" s="748"/>
      <c r="F672" s="740"/>
      <c r="G672" s="839" t="s">
        <v>854</v>
      </c>
      <c r="H672" s="36" t="s">
        <v>1540</v>
      </c>
      <c r="I672" s="37">
        <v>10</v>
      </c>
      <c r="J672" s="38">
        <f t="shared" si="190"/>
        <v>0</v>
      </c>
      <c r="K672" s="806"/>
      <c r="L672" s="300">
        <f>K672/16</f>
        <v>0</v>
      </c>
      <c r="M672" s="40">
        <f>K672*I672</f>
        <v>0</v>
      </c>
      <c r="N672" s="55">
        <v>5.15</v>
      </c>
      <c r="O672" s="42">
        <f>(K672-N672)/N672</f>
        <v>-1</v>
      </c>
      <c r="P672" s="43">
        <v>6.31</v>
      </c>
    </row>
    <row r="673" spans="1:16" ht="16.5" customHeight="1">
      <c r="A673" s="31"/>
      <c r="B673" s="115"/>
      <c r="C673" s="222"/>
      <c r="D673" s="56" t="s">
        <v>1539</v>
      </c>
      <c r="E673" s="752"/>
      <c r="F673" s="742"/>
      <c r="G673" s="852" t="s">
        <v>1593</v>
      </c>
      <c r="H673" s="46"/>
      <c r="I673" s="47"/>
      <c r="J673" s="38">
        <f t="shared" si="190"/>
        <v>0</v>
      </c>
      <c r="K673" s="807"/>
      <c r="L673" s="309" t="s">
        <v>123</v>
      </c>
      <c r="M673" s="89"/>
      <c r="N673" s="55"/>
      <c r="O673" s="76"/>
      <c r="P673" s="52"/>
    </row>
    <row r="674" spans="1:16" ht="16.5" customHeight="1">
      <c r="A674" s="226">
        <v>75</v>
      </c>
      <c r="B674" s="53" t="s">
        <v>1594</v>
      </c>
      <c r="C674" s="108" t="s">
        <v>1595</v>
      </c>
      <c r="D674" s="225"/>
      <c r="E674" s="748"/>
      <c r="F674" s="740"/>
      <c r="G674" s="839" t="s">
        <v>854</v>
      </c>
      <c r="H674" s="36" t="s">
        <v>39</v>
      </c>
      <c r="I674" s="37">
        <v>2</v>
      </c>
      <c r="J674" s="38">
        <f t="shared" si="190"/>
        <v>0</v>
      </c>
      <c r="K674" s="805"/>
      <c r="L674" s="300">
        <f>K674/2</f>
        <v>0</v>
      </c>
      <c r="M674" s="40">
        <f>I674*K674</f>
        <v>0</v>
      </c>
      <c r="N674" s="55">
        <v>2.82</v>
      </c>
      <c r="O674" s="42">
        <f>(K674-N674)/N674</f>
        <v>-1</v>
      </c>
      <c r="P674" s="43">
        <v>3.4</v>
      </c>
    </row>
    <row r="675" spans="1:16" ht="16.5" customHeight="1">
      <c r="A675" s="31"/>
      <c r="B675" s="115"/>
      <c r="C675" s="222"/>
      <c r="D675" s="56" t="s">
        <v>1596</v>
      </c>
      <c r="E675" s="752"/>
      <c r="F675" s="742"/>
      <c r="G675" s="852" t="s">
        <v>1597</v>
      </c>
      <c r="H675" s="46"/>
      <c r="I675" s="47"/>
      <c r="J675" s="38">
        <f t="shared" si="190"/>
        <v>0</v>
      </c>
      <c r="K675" s="805"/>
      <c r="L675" s="309" t="s">
        <v>123</v>
      </c>
      <c r="M675" s="89"/>
      <c r="N675" s="55"/>
      <c r="O675" s="76"/>
      <c r="P675" s="52"/>
    </row>
    <row r="676" spans="1:16" ht="16.5" customHeight="1">
      <c r="A676" s="226">
        <v>76</v>
      </c>
      <c r="B676" s="53" t="s">
        <v>1598</v>
      </c>
      <c r="C676" s="135" t="s">
        <v>1599</v>
      </c>
      <c r="D676" s="54" t="s">
        <v>1539</v>
      </c>
      <c r="E676" s="748"/>
      <c r="F676" s="740"/>
      <c r="G676" s="839" t="s">
        <v>1600</v>
      </c>
      <c r="H676" s="36" t="s">
        <v>39</v>
      </c>
      <c r="I676" s="37">
        <v>6</v>
      </c>
      <c r="J676" s="38">
        <f t="shared" si="190"/>
        <v>0</v>
      </c>
      <c r="K676" s="806"/>
      <c r="L676" s="300">
        <f t="shared" ref="L676:L678" si="213">K676/16</f>
        <v>0</v>
      </c>
      <c r="M676" s="40">
        <f t="shared" ref="M676:M679" si="214">I676*K676</f>
        <v>0</v>
      </c>
      <c r="N676" s="55">
        <v>6.04</v>
      </c>
      <c r="O676" s="42">
        <f t="shared" ref="O676:O680" si="215">(K676-N676)/N676</f>
        <v>-1</v>
      </c>
      <c r="P676" s="43">
        <v>7.46</v>
      </c>
    </row>
    <row r="677" spans="1:16" ht="16.5" customHeight="1">
      <c r="A677" s="226">
        <v>77</v>
      </c>
      <c r="B677" s="61"/>
      <c r="C677" s="123" t="s">
        <v>1601</v>
      </c>
      <c r="D677" s="62" t="s">
        <v>1539</v>
      </c>
      <c r="E677" s="756"/>
      <c r="F677" s="750"/>
      <c r="G677" s="851" t="s">
        <v>1602</v>
      </c>
      <c r="H677" s="113"/>
      <c r="I677" s="64">
        <v>1</v>
      </c>
      <c r="J677" s="38">
        <f t="shared" si="190"/>
        <v>0</v>
      </c>
      <c r="K677" s="805"/>
      <c r="L677" s="301">
        <f t="shared" si="213"/>
        <v>0</v>
      </c>
      <c r="M677" s="58">
        <f t="shared" si="214"/>
        <v>0</v>
      </c>
      <c r="N677" s="55">
        <v>5.43</v>
      </c>
      <c r="O677" s="42">
        <f t="shared" si="215"/>
        <v>-1</v>
      </c>
      <c r="P677" s="43">
        <v>6.61</v>
      </c>
    </row>
    <row r="678" spans="1:16" ht="16.5" customHeight="1">
      <c r="A678" s="226">
        <v>78</v>
      </c>
      <c r="B678" s="61"/>
      <c r="C678" s="476" t="s">
        <v>1603</v>
      </c>
      <c r="D678" s="62" t="s">
        <v>1604</v>
      </c>
      <c r="E678" s="756"/>
      <c r="F678" s="750"/>
      <c r="G678" s="851" t="s">
        <v>1605</v>
      </c>
      <c r="H678" s="19"/>
      <c r="I678" s="403">
        <v>3</v>
      </c>
      <c r="J678" s="38">
        <f t="shared" si="190"/>
        <v>0</v>
      </c>
      <c r="K678" s="805"/>
      <c r="L678" s="301">
        <f t="shared" si="213"/>
        <v>0</v>
      </c>
      <c r="M678" s="58">
        <f t="shared" si="214"/>
        <v>0</v>
      </c>
      <c r="N678" s="55">
        <v>8.35</v>
      </c>
      <c r="O678" s="42">
        <f t="shared" si="215"/>
        <v>-1</v>
      </c>
      <c r="P678" s="43">
        <v>10.4</v>
      </c>
    </row>
    <row r="679" spans="1:16" ht="16.5" customHeight="1">
      <c r="A679" s="226">
        <v>79</v>
      </c>
      <c r="B679" s="115"/>
      <c r="C679" s="158" t="s">
        <v>1606</v>
      </c>
      <c r="D679" s="56" t="s">
        <v>1607</v>
      </c>
      <c r="E679" s="752"/>
      <c r="F679" s="742"/>
      <c r="G679" s="852" t="s">
        <v>1608</v>
      </c>
      <c r="H679" s="508"/>
      <c r="I679" s="293">
        <v>3</v>
      </c>
      <c r="J679" s="38">
        <f t="shared" si="190"/>
        <v>0</v>
      </c>
      <c r="K679" s="807"/>
      <c r="L679" s="309">
        <f>K679/20</f>
        <v>0</v>
      </c>
      <c r="M679" s="89">
        <f t="shared" si="214"/>
        <v>0</v>
      </c>
      <c r="N679" s="55">
        <v>6.9</v>
      </c>
      <c r="O679" s="42">
        <f t="shared" si="215"/>
        <v>-1</v>
      </c>
      <c r="P679" s="52">
        <v>8.5</v>
      </c>
    </row>
    <row r="680" spans="1:16" ht="16.5" customHeight="1">
      <c r="A680" s="226">
        <v>80</v>
      </c>
      <c r="B680" s="509" t="s">
        <v>1609</v>
      </c>
      <c r="C680" s="108" t="s">
        <v>1610</v>
      </c>
      <c r="D680" s="54"/>
      <c r="E680" s="748"/>
      <c r="F680" s="740"/>
      <c r="G680" s="839" t="s">
        <v>854</v>
      </c>
      <c r="H680" s="36" t="s">
        <v>1540</v>
      </c>
      <c r="I680" s="37">
        <v>1</v>
      </c>
      <c r="J680" s="38">
        <f t="shared" si="190"/>
        <v>0</v>
      </c>
      <c r="K680" s="805"/>
      <c r="L680" s="300">
        <f>K680/10</f>
        <v>0</v>
      </c>
      <c r="M680" s="40">
        <f>K680*I680</f>
        <v>0</v>
      </c>
      <c r="N680" s="55">
        <v>5.32</v>
      </c>
      <c r="O680" s="42">
        <f t="shared" si="215"/>
        <v>-1</v>
      </c>
      <c r="P680" s="43">
        <v>5.41</v>
      </c>
    </row>
    <row r="681" spans="1:16" ht="16.5" customHeight="1">
      <c r="A681" s="31"/>
      <c r="B681" s="510"/>
      <c r="C681" s="222"/>
      <c r="D681" s="56" t="s">
        <v>1611</v>
      </c>
      <c r="E681" s="752"/>
      <c r="F681" s="742"/>
      <c r="G681" s="852" t="s">
        <v>1612</v>
      </c>
      <c r="H681" s="46"/>
      <c r="I681" s="47"/>
      <c r="J681" s="38">
        <f t="shared" si="190"/>
        <v>0</v>
      </c>
      <c r="K681" s="805"/>
      <c r="L681" s="309" t="s">
        <v>123</v>
      </c>
      <c r="M681" s="89"/>
      <c r="N681" s="55"/>
      <c r="O681" s="51"/>
      <c r="P681" s="52"/>
    </row>
    <row r="682" spans="1:16" ht="16.5" customHeight="1">
      <c r="A682" s="226">
        <v>81</v>
      </c>
      <c r="B682" s="509" t="s">
        <v>1613</v>
      </c>
      <c r="C682" s="108" t="s">
        <v>1614</v>
      </c>
      <c r="D682" s="225"/>
      <c r="E682" s="748"/>
      <c r="F682" s="740"/>
      <c r="G682" s="839" t="s">
        <v>854</v>
      </c>
      <c r="H682" s="36" t="s">
        <v>39</v>
      </c>
      <c r="I682" s="37">
        <v>2</v>
      </c>
      <c r="J682" s="38">
        <f t="shared" si="190"/>
        <v>0</v>
      </c>
      <c r="K682" s="806"/>
      <c r="L682" s="300">
        <f>K682/8</f>
        <v>0</v>
      </c>
      <c r="M682" s="40">
        <f>I682*K682</f>
        <v>0</v>
      </c>
      <c r="N682" s="55">
        <v>4.08</v>
      </c>
      <c r="O682" s="42">
        <f>(K682-N682)/N682</f>
        <v>-1</v>
      </c>
      <c r="P682" s="43">
        <v>4.96</v>
      </c>
    </row>
    <row r="683" spans="1:16" ht="16.5" customHeight="1">
      <c r="A683" s="31"/>
      <c r="B683" s="510"/>
      <c r="C683" s="222"/>
      <c r="D683" s="56" t="s">
        <v>1569</v>
      </c>
      <c r="E683" s="752"/>
      <c r="F683" s="742"/>
      <c r="G683" s="852" t="s">
        <v>1615</v>
      </c>
      <c r="H683" s="508"/>
      <c r="I683" s="293"/>
      <c r="J683" s="38">
        <f t="shared" si="190"/>
        <v>0</v>
      </c>
      <c r="K683" s="807"/>
      <c r="L683" s="309" t="s">
        <v>123</v>
      </c>
      <c r="M683" s="89"/>
      <c r="N683" s="55"/>
      <c r="O683" s="51"/>
      <c r="P683" s="52"/>
    </row>
    <row r="684" spans="1:16" ht="16.5" customHeight="1">
      <c r="A684" s="226">
        <v>82</v>
      </c>
      <c r="B684" s="509" t="s">
        <v>1616</v>
      </c>
      <c r="C684" s="108" t="s">
        <v>1617</v>
      </c>
      <c r="D684" s="225"/>
      <c r="E684" s="748"/>
      <c r="F684" s="740"/>
      <c r="G684" s="839" t="s">
        <v>854</v>
      </c>
      <c r="H684" s="36" t="s">
        <v>39</v>
      </c>
      <c r="I684" s="37">
        <v>2</v>
      </c>
      <c r="J684" s="38">
        <f t="shared" si="190"/>
        <v>0</v>
      </c>
      <c r="K684" s="805"/>
      <c r="L684" s="300">
        <f>K684/12</f>
        <v>0</v>
      </c>
      <c r="M684" s="40">
        <f>I684*K684</f>
        <v>0</v>
      </c>
      <c r="N684" s="55">
        <v>5.46</v>
      </c>
      <c r="O684" s="42">
        <f>(K684-N684)/N684</f>
        <v>-1</v>
      </c>
      <c r="P684" s="43">
        <v>6.7</v>
      </c>
    </row>
    <row r="685" spans="1:16" ht="16.5" customHeight="1">
      <c r="A685" s="31"/>
      <c r="B685" s="511"/>
      <c r="C685" s="179"/>
      <c r="D685" s="62" t="s">
        <v>1618</v>
      </c>
      <c r="E685" s="756"/>
      <c r="F685" s="750"/>
      <c r="G685" s="851" t="s">
        <v>1619</v>
      </c>
      <c r="H685" s="19"/>
      <c r="I685" s="403"/>
      <c r="J685" s="38">
        <f t="shared" si="190"/>
        <v>0</v>
      </c>
      <c r="K685" s="805"/>
      <c r="L685" s="301" t="s">
        <v>123</v>
      </c>
      <c r="M685" s="58"/>
      <c r="N685" s="55"/>
      <c r="O685" s="51"/>
      <c r="P685" s="52"/>
    </row>
    <row r="686" spans="1:16" ht="16.5" customHeight="1">
      <c r="A686" s="226">
        <v>83</v>
      </c>
      <c r="B686" s="53" t="s">
        <v>1620</v>
      </c>
      <c r="C686" s="342" t="s">
        <v>1621</v>
      </c>
      <c r="D686" s="54" t="s">
        <v>1622</v>
      </c>
      <c r="E686" s="748"/>
      <c r="F686" s="740"/>
      <c r="G686" s="922" t="s">
        <v>1623</v>
      </c>
      <c r="H686" s="512" t="s">
        <v>1540</v>
      </c>
      <c r="I686" s="316">
        <v>10</v>
      </c>
      <c r="J686" s="38">
        <f t="shared" si="190"/>
        <v>0</v>
      </c>
      <c r="K686" s="806"/>
      <c r="L686" s="300">
        <f>K686/I686</f>
        <v>0</v>
      </c>
      <c r="M686" s="40">
        <f>I686*K686</f>
        <v>0</v>
      </c>
      <c r="N686" s="55">
        <v>42.38</v>
      </c>
      <c r="O686" s="42">
        <f>(K686-N686)/N686</f>
        <v>-1</v>
      </c>
      <c r="P686" s="43">
        <v>42.38</v>
      </c>
    </row>
    <row r="687" spans="1:16" ht="16.5" customHeight="1">
      <c r="A687" s="31"/>
      <c r="B687" s="115"/>
      <c r="C687" s="346" t="s">
        <v>1624</v>
      </c>
      <c r="D687" s="112"/>
      <c r="E687" s="749"/>
      <c r="F687" s="750"/>
      <c r="G687" s="859"/>
      <c r="H687" s="19"/>
      <c r="I687" s="403"/>
      <c r="J687" s="513">
        <f t="shared" si="190"/>
        <v>0</v>
      </c>
      <c r="K687" s="805"/>
      <c r="L687" s="304"/>
      <c r="M687" s="58"/>
      <c r="N687" s="55"/>
      <c r="O687" s="76"/>
      <c r="P687" s="43"/>
    </row>
    <row r="688" spans="1:16" ht="16.5" customHeight="1">
      <c r="A688" s="348">
        <v>84</v>
      </c>
      <c r="B688" s="574" t="s">
        <v>1625</v>
      </c>
      <c r="C688" s="355" t="s">
        <v>1626</v>
      </c>
      <c r="D688" s="54" t="s">
        <v>920</v>
      </c>
      <c r="E688" s="753"/>
      <c r="F688" s="740"/>
      <c r="G688" s="839" t="s">
        <v>854</v>
      </c>
      <c r="H688" s="512" t="s">
        <v>39</v>
      </c>
      <c r="I688" s="316">
        <v>10</v>
      </c>
      <c r="J688" s="88">
        <f t="shared" si="190"/>
        <v>0</v>
      </c>
      <c r="K688" s="811"/>
      <c r="L688" s="136">
        <f t="shared" ref="L688:L690" si="216">K688/24</f>
        <v>0</v>
      </c>
      <c r="M688" s="40">
        <f t="shared" ref="M688:M691" si="217">I688*K688</f>
        <v>0</v>
      </c>
      <c r="N688" s="55"/>
      <c r="O688" s="42"/>
      <c r="P688" s="43"/>
    </row>
    <row r="689" spans="1:16" ht="16.5" customHeight="1">
      <c r="A689" s="348">
        <v>85</v>
      </c>
      <c r="B689" s="575"/>
      <c r="C689" s="87" t="s">
        <v>1627</v>
      </c>
      <c r="D689" s="56" t="s">
        <v>920</v>
      </c>
      <c r="E689" s="754"/>
      <c r="F689" s="742"/>
      <c r="G689" s="852" t="s">
        <v>854</v>
      </c>
      <c r="H689" s="508" t="s">
        <v>39</v>
      </c>
      <c r="I689" s="293">
        <v>10</v>
      </c>
      <c r="J689" s="181">
        <f t="shared" si="190"/>
        <v>0</v>
      </c>
      <c r="K689" s="812"/>
      <c r="L689" s="177">
        <f t="shared" si="216"/>
        <v>0</v>
      </c>
      <c r="M689" s="89">
        <f t="shared" si="217"/>
        <v>0</v>
      </c>
      <c r="N689" s="55"/>
      <c r="O689" s="76"/>
      <c r="P689" s="43"/>
    </row>
    <row r="690" spans="1:16" ht="16.5" customHeight="1">
      <c r="A690" s="226">
        <v>86</v>
      </c>
      <c r="B690" s="331" t="s">
        <v>1628</v>
      </c>
      <c r="C690" s="87" t="s">
        <v>1629</v>
      </c>
      <c r="D690" s="56" t="s">
        <v>1630</v>
      </c>
      <c r="E690" s="754"/>
      <c r="F690" s="742"/>
      <c r="G690" s="923" t="s">
        <v>1631</v>
      </c>
      <c r="H690" s="508" t="s">
        <v>39</v>
      </c>
      <c r="I690" s="293">
        <v>60</v>
      </c>
      <c r="J690" s="183">
        <f t="shared" si="190"/>
        <v>0</v>
      </c>
      <c r="K690" s="807"/>
      <c r="L690" s="177">
        <f t="shared" si="216"/>
        <v>0</v>
      </c>
      <c r="M690" s="89">
        <f t="shared" si="217"/>
        <v>0</v>
      </c>
      <c r="N690" s="55">
        <v>2.67</v>
      </c>
      <c r="O690" s="76"/>
      <c r="P690" s="43"/>
    </row>
    <row r="691" spans="1:16" ht="16.5" customHeight="1">
      <c r="A691" s="226">
        <v>87</v>
      </c>
      <c r="B691" s="53" t="s">
        <v>1632</v>
      </c>
      <c r="C691" s="355" t="s">
        <v>1633</v>
      </c>
      <c r="D691" s="54" t="s">
        <v>1634</v>
      </c>
      <c r="E691" s="753"/>
      <c r="F691" s="740"/>
      <c r="G691" s="839" t="s">
        <v>1635</v>
      </c>
      <c r="H691" s="512" t="s">
        <v>39</v>
      </c>
      <c r="I691" s="316">
        <v>3</v>
      </c>
      <c r="J691" s="88">
        <f t="shared" si="190"/>
        <v>0</v>
      </c>
      <c r="K691" s="806"/>
      <c r="L691" s="136">
        <f>K691/96</f>
        <v>0</v>
      </c>
      <c r="M691" s="40">
        <f t="shared" si="217"/>
        <v>0</v>
      </c>
      <c r="N691" s="55">
        <v>17.940000000000001</v>
      </c>
      <c r="O691" s="42">
        <f>(K691-N691)/N691</f>
        <v>-1</v>
      </c>
      <c r="P691" s="43">
        <v>14.03</v>
      </c>
    </row>
    <row r="692" spans="1:16" ht="30" customHeight="1">
      <c r="A692" s="459"/>
      <c r="B692" s="560" t="s">
        <v>1636</v>
      </c>
      <c r="C692" s="561"/>
      <c r="D692" s="561"/>
      <c r="E692" s="561"/>
      <c r="F692" s="561"/>
      <c r="G692" s="561"/>
      <c r="H692" s="561"/>
      <c r="I692" s="561"/>
      <c r="J692" s="489"/>
      <c r="K692" s="566">
        <f>SUM(M565:M691)</f>
        <v>0</v>
      </c>
      <c r="L692" s="561"/>
      <c r="M692" s="567"/>
      <c r="N692" s="243"/>
      <c r="O692" s="514">
        <f>SUM(O565:O691)/78</f>
        <v>-0.94871794871794868</v>
      </c>
      <c r="P692" s="458"/>
    </row>
    <row r="693" spans="1:16" ht="30" customHeight="1">
      <c r="A693" s="246"/>
      <c r="B693" s="576" t="s">
        <v>1637</v>
      </c>
      <c r="C693" s="542"/>
      <c r="D693" s="542"/>
      <c r="E693" s="542"/>
      <c r="F693" s="542"/>
      <c r="G693" s="542"/>
      <c r="H693" s="542"/>
      <c r="I693" s="542"/>
      <c r="J693" s="542"/>
      <c r="K693" s="542"/>
      <c r="L693" s="542"/>
      <c r="M693" s="543"/>
      <c r="N693" s="243"/>
      <c r="O693" s="372"/>
      <c r="P693" s="458"/>
    </row>
    <row r="694" spans="1:16" ht="16.5" customHeight="1">
      <c r="A694" s="226">
        <v>1</v>
      </c>
      <c r="B694" s="53" t="s">
        <v>1638</v>
      </c>
      <c r="C694" s="85" t="s">
        <v>1639</v>
      </c>
      <c r="D694" s="225"/>
      <c r="E694" s="74"/>
      <c r="F694" s="284"/>
      <c r="G694" s="35" t="s">
        <v>995</v>
      </c>
      <c r="H694" s="36" t="s">
        <v>39</v>
      </c>
      <c r="I694" s="37">
        <v>20</v>
      </c>
      <c r="J694" s="38">
        <f t="shared" ref="J694:J704" si="218">(K694*8%)+K694</f>
        <v>0</v>
      </c>
      <c r="K694" s="796"/>
      <c r="L694" s="300">
        <f>K694/200</f>
        <v>0</v>
      </c>
      <c r="M694" s="40">
        <f>(I694*K694)</f>
        <v>0</v>
      </c>
      <c r="N694" s="41">
        <v>18.48</v>
      </c>
      <c r="O694" s="42">
        <f>(K694-N694)/N694</f>
        <v>-1</v>
      </c>
      <c r="P694" s="43">
        <v>18.48</v>
      </c>
    </row>
    <row r="695" spans="1:16" ht="16.5" customHeight="1">
      <c r="A695" s="73"/>
      <c r="B695" s="115"/>
      <c r="C695" s="222"/>
      <c r="D695" s="56" t="s">
        <v>1640</v>
      </c>
      <c r="E695" s="752"/>
      <c r="F695" s="742"/>
      <c r="G695" s="852" t="s">
        <v>1641</v>
      </c>
      <c r="H695" s="46"/>
      <c r="I695" s="47"/>
      <c r="J695" s="88">
        <f t="shared" si="218"/>
        <v>0</v>
      </c>
      <c r="K695" s="805"/>
      <c r="L695" s="309"/>
      <c r="M695" s="89"/>
      <c r="N695" s="55"/>
      <c r="O695" s="76"/>
      <c r="P695" s="52"/>
    </row>
    <row r="696" spans="1:16" ht="16.5" customHeight="1">
      <c r="A696" s="226">
        <v>2</v>
      </c>
      <c r="B696" s="53" t="s">
        <v>1642</v>
      </c>
      <c r="C696" s="108" t="s">
        <v>1643</v>
      </c>
      <c r="D696" s="54"/>
      <c r="E696" s="748"/>
      <c r="F696" s="740"/>
      <c r="G696" s="839" t="s">
        <v>995</v>
      </c>
      <c r="H696" s="36" t="s">
        <v>39</v>
      </c>
      <c r="I696" s="37">
        <v>600</v>
      </c>
      <c r="J696" s="38">
        <f t="shared" si="218"/>
        <v>0</v>
      </c>
      <c r="K696" s="806"/>
      <c r="L696" s="300">
        <f>K696/500</f>
        <v>0</v>
      </c>
      <c r="M696" s="40">
        <f>I696*K696</f>
        <v>0</v>
      </c>
      <c r="N696" s="55">
        <v>22.89</v>
      </c>
      <c r="O696" s="42">
        <f>(K696-N696)/N696</f>
        <v>-1</v>
      </c>
      <c r="P696" s="43">
        <v>21.45</v>
      </c>
    </row>
    <row r="697" spans="1:16" ht="15.75" customHeight="1">
      <c r="A697" s="73"/>
      <c r="B697" s="115"/>
      <c r="C697" s="138"/>
      <c r="D697" s="56" t="s">
        <v>1644</v>
      </c>
      <c r="E697" s="752"/>
      <c r="F697" s="742"/>
      <c r="G697" s="852" t="s">
        <v>1645</v>
      </c>
      <c r="H697" s="46"/>
      <c r="I697" s="47"/>
      <c r="J697" s="127">
        <f t="shared" si="218"/>
        <v>0</v>
      </c>
      <c r="K697" s="807"/>
      <c r="L697" s="309"/>
      <c r="M697" s="89"/>
      <c r="N697" s="55"/>
      <c r="O697" s="76"/>
      <c r="P697" s="52"/>
    </row>
    <row r="698" spans="1:16" ht="15.75" customHeight="1">
      <c r="A698" s="226">
        <v>3</v>
      </c>
      <c r="B698" s="119" t="s">
        <v>1646</v>
      </c>
      <c r="C698" s="318" t="s">
        <v>1647</v>
      </c>
      <c r="D698" s="319" t="s">
        <v>1648</v>
      </c>
      <c r="E698" s="757"/>
      <c r="F698" s="758"/>
      <c r="G698" s="854" t="s">
        <v>1649</v>
      </c>
      <c r="H698" s="120" t="s">
        <v>39</v>
      </c>
      <c r="I698" s="121">
        <v>600</v>
      </c>
      <c r="J698" s="127">
        <f t="shared" si="218"/>
        <v>0</v>
      </c>
      <c r="K698" s="807"/>
      <c r="L698" s="315">
        <f>K698/500</f>
        <v>0</v>
      </c>
      <c r="M698" s="40">
        <f>I698*K698</f>
        <v>0</v>
      </c>
      <c r="N698" s="55">
        <v>28.22</v>
      </c>
      <c r="O698" s="42">
        <f>(K698-N698)/N698</f>
        <v>-1</v>
      </c>
      <c r="P698" s="43">
        <v>29.7</v>
      </c>
    </row>
    <row r="699" spans="1:16" ht="15.75" customHeight="1">
      <c r="A699" s="305"/>
      <c r="B699" s="53" t="s">
        <v>1650</v>
      </c>
      <c r="C699" s="108" t="s">
        <v>1651</v>
      </c>
      <c r="D699" s="225"/>
      <c r="E699" s="748"/>
      <c r="F699" s="740"/>
      <c r="G699" s="839" t="s">
        <v>885</v>
      </c>
      <c r="H699" s="36"/>
      <c r="I699" s="37"/>
      <c r="J699" s="38">
        <f t="shared" si="218"/>
        <v>0</v>
      </c>
      <c r="K699" s="806"/>
      <c r="L699" s="300"/>
      <c r="M699" s="40"/>
      <c r="N699" s="55"/>
      <c r="O699" s="76"/>
      <c r="P699" s="52"/>
    </row>
    <row r="700" spans="1:16" ht="16.5" customHeight="1">
      <c r="A700" s="305">
        <v>4</v>
      </c>
      <c r="B700" s="61"/>
      <c r="C700" s="123" t="s">
        <v>1652</v>
      </c>
      <c r="D700" s="62" t="s">
        <v>1653</v>
      </c>
      <c r="E700" s="756"/>
      <c r="F700" s="750"/>
      <c r="G700" s="851" t="s">
        <v>1654</v>
      </c>
      <c r="H700" s="113" t="s">
        <v>39</v>
      </c>
      <c r="I700" s="64">
        <v>10</v>
      </c>
      <c r="J700" s="38">
        <f t="shared" si="218"/>
        <v>0</v>
      </c>
      <c r="K700" s="805"/>
      <c r="L700" s="301">
        <f t="shared" ref="L700:L701" si="219">K700/500</f>
        <v>0</v>
      </c>
      <c r="M700" s="58">
        <f t="shared" ref="M700:M703" si="220">I700*K700</f>
        <v>0</v>
      </c>
      <c r="N700" s="55">
        <v>9.4499999999999993</v>
      </c>
      <c r="O700" s="42">
        <f t="shared" ref="O700:O703" si="221">(K700-N700)/N700</f>
        <v>-1</v>
      </c>
      <c r="P700" s="52">
        <v>9.09</v>
      </c>
    </row>
    <row r="701" spans="1:16" ht="16.5" customHeight="1">
      <c r="A701" s="305">
        <v>5</v>
      </c>
      <c r="B701" s="61"/>
      <c r="C701" s="111" t="s">
        <v>1655</v>
      </c>
      <c r="D701" s="62" t="s">
        <v>1653</v>
      </c>
      <c r="E701" s="756"/>
      <c r="F701" s="750"/>
      <c r="G701" s="851" t="s">
        <v>1656</v>
      </c>
      <c r="H701" s="113" t="s">
        <v>39</v>
      </c>
      <c r="I701" s="64">
        <v>10</v>
      </c>
      <c r="J701" s="38">
        <f t="shared" si="218"/>
        <v>0</v>
      </c>
      <c r="K701" s="805"/>
      <c r="L701" s="301">
        <f t="shared" si="219"/>
        <v>0</v>
      </c>
      <c r="M701" s="58">
        <f t="shared" si="220"/>
        <v>0</v>
      </c>
      <c r="N701" s="55">
        <v>15.5</v>
      </c>
      <c r="O701" s="42">
        <f t="shared" si="221"/>
        <v>-1</v>
      </c>
      <c r="P701" s="52">
        <v>14.88</v>
      </c>
    </row>
    <row r="702" spans="1:16" ht="16.5" customHeight="1">
      <c r="A702" s="305">
        <v>6</v>
      </c>
      <c r="B702" s="115"/>
      <c r="C702" s="167" t="s">
        <v>1657</v>
      </c>
      <c r="D702" s="56" t="s">
        <v>1658</v>
      </c>
      <c r="E702" s="752"/>
      <c r="F702" s="742"/>
      <c r="G702" s="852" t="s">
        <v>1659</v>
      </c>
      <c r="H702" s="46" t="s">
        <v>39</v>
      </c>
      <c r="I702" s="47">
        <v>42</v>
      </c>
      <c r="J702" s="127">
        <f t="shared" si="218"/>
        <v>0</v>
      </c>
      <c r="K702" s="807"/>
      <c r="L702" s="309">
        <f>K702/250</f>
        <v>0</v>
      </c>
      <c r="M702" s="89">
        <f t="shared" si="220"/>
        <v>0</v>
      </c>
      <c r="N702" s="55">
        <v>14.66</v>
      </c>
      <c r="O702" s="42">
        <f t="shared" si="221"/>
        <v>-1</v>
      </c>
      <c r="P702" s="52">
        <v>14.06</v>
      </c>
    </row>
    <row r="703" spans="1:16" ht="16.5" customHeight="1">
      <c r="A703" s="305">
        <v>7</v>
      </c>
      <c r="B703" s="53" t="s">
        <v>1660</v>
      </c>
      <c r="C703" s="135" t="s">
        <v>1661</v>
      </c>
      <c r="D703" s="54" t="s">
        <v>1662</v>
      </c>
      <c r="E703" s="753"/>
      <c r="F703" s="740"/>
      <c r="G703" s="839" t="s">
        <v>1663</v>
      </c>
      <c r="H703" s="36" t="s">
        <v>39</v>
      </c>
      <c r="I703" s="37">
        <v>17</v>
      </c>
      <c r="J703" s="88">
        <f t="shared" si="218"/>
        <v>0</v>
      </c>
      <c r="K703" s="811"/>
      <c r="L703" s="136">
        <f t="shared" ref="L703:L704" si="222">K703/2000</f>
        <v>0</v>
      </c>
      <c r="M703" s="40">
        <f t="shared" si="220"/>
        <v>0</v>
      </c>
      <c r="N703" s="55">
        <v>8.9700000000000006</v>
      </c>
      <c r="O703" s="42">
        <f t="shared" si="221"/>
        <v>-1</v>
      </c>
      <c r="P703" s="43">
        <v>8.6</v>
      </c>
    </row>
    <row r="704" spans="1:16" ht="16.5" customHeight="1">
      <c r="A704" s="515">
        <v>8</v>
      </c>
      <c r="B704" s="61"/>
      <c r="C704" s="123" t="s">
        <v>1664</v>
      </c>
      <c r="D704" s="62" t="s">
        <v>1662</v>
      </c>
      <c r="E704" s="755"/>
      <c r="F704" s="750"/>
      <c r="G704" s="851" t="s">
        <v>1665</v>
      </c>
      <c r="H704" s="113" t="s">
        <v>39</v>
      </c>
      <c r="I704" s="64">
        <v>13</v>
      </c>
      <c r="J704" s="290">
        <f t="shared" si="218"/>
        <v>0</v>
      </c>
      <c r="K704" s="813"/>
      <c r="L704" s="143">
        <f t="shared" si="222"/>
        <v>0</v>
      </c>
      <c r="M704" s="58"/>
      <c r="N704" s="55">
        <v>16.7</v>
      </c>
      <c r="O704" s="76"/>
      <c r="P704" s="52"/>
    </row>
    <row r="705" spans="1:16" ht="16.5" customHeight="1">
      <c r="A705" s="516"/>
      <c r="B705" s="581" t="s">
        <v>1666</v>
      </c>
      <c r="C705" s="85"/>
      <c r="D705" s="225"/>
      <c r="E705" s="753"/>
      <c r="F705" s="740"/>
      <c r="G705" s="839" t="s">
        <v>1667</v>
      </c>
      <c r="H705" s="36"/>
      <c r="I705" s="37"/>
      <c r="J705" s="88"/>
      <c r="K705" s="811"/>
      <c r="L705" s="136"/>
      <c r="M705" s="40"/>
      <c r="N705" s="55"/>
      <c r="O705" s="76"/>
      <c r="P705" s="52"/>
    </row>
    <row r="706" spans="1:16" ht="16.5" customHeight="1">
      <c r="A706" s="516">
        <v>9</v>
      </c>
      <c r="B706" s="547"/>
      <c r="C706" s="229" t="s">
        <v>1668</v>
      </c>
      <c r="D706" s="62" t="s">
        <v>1669</v>
      </c>
      <c r="E706" s="755"/>
      <c r="F706" s="750"/>
      <c r="G706" s="851" t="s">
        <v>1670</v>
      </c>
      <c r="H706" s="113" t="s">
        <v>39</v>
      </c>
      <c r="I706" s="64">
        <v>10</v>
      </c>
      <c r="J706" s="290"/>
      <c r="K706" s="813"/>
      <c r="L706" s="143">
        <f t="shared" ref="L706:L707" si="223">K706/2500</f>
        <v>0</v>
      </c>
      <c r="M706" s="58"/>
      <c r="N706" s="55">
        <v>34.880000000000003</v>
      </c>
      <c r="O706" s="76"/>
      <c r="P706" s="52"/>
    </row>
    <row r="707" spans="1:16" ht="16.5" customHeight="1">
      <c r="A707" s="516">
        <v>10</v>
      </c>
      <c r="B707" s="517"/>
      <c r="C707" s="639" t="s">
        <v>1784</v>
      </c>
      <c r="D707" s="62" t="s">
        <v>1669</v>
      </c>
      <c r="E707" s="755"/>
      <c r="F707" s="750"/>
      <c r="G707" s="851" t="s">
        <v>1671</v>
      </c>
      <c r="H707" s="113" t="s">
        <v>39</v>
      </c>
      <c r="I707" s="64">
        <v>10</v>
      </c>
      <c r="J707" s="290"/>
      <c r="K707" s="813"/>
      <c r="L707" s="143">
        <f t="shared" si="223"/>
        <v>0</v>
      </c>
      <c r="M707" s="58"/>
      <c r="N707" s="55">
        <v>27.38</v>
      </c>
      <c r="O707" s="76"/>
      <c r="P707" s="52"/>
    </row>
    <row r="708" spans="1:16" ht="15.75" customHeight="1">
      <c r="A708" s="516">
        <v>11</v>
      </c>
      <c r="B708" s="517"/>
      <c r="C708" s="639" t="s">
        <v>1785</v>
      </c>
      <c r="D708" s="62" t="s">
        <v>1672</v>
      </c>
      <c r="E708" s="755"/>
      <c r="F708" s="750"/>
      <c r="G708" s="851" t="s">
        <v>1673</v>
      </c>
      <c r="H708" s="113" t="s">
        <v>39</v>
      </c>
      <c r="I708" s="64">
        <v>16</v>
      </c>
      <c r="J708" s="290">
        <f>(K708*8%)+K708</f>
        <v>0</v>
      </c>
      <c r="K708" s="813"/>
      <c r="L708" s="143">
        <f t="shared" ref="L708:L713" si="224">K708/1000</f>
        <v>0</v>
      </c>
      <c r="M708" s="58">
        <f>(I708*K708)</f>
        <v>0</v>
      </c>
      <c r="N708" s="55">
        <v>20.67</v>
      </c>
      <c r="O708" s="518">
        <f>(K708-N708)/N708</f>
        <v>-1</v>
      </c>
      <c r="P708" s="519">
        <v>20.67</v>
      </c>
    </row>
    <row r="709" spans="1:16" ht="16.5" customHeight="1">
      <c r="A709" s="516">
        <v>12</v>
      </c>
      <c r="B709" s="517"/>
      <c r="C709" s="639" t="s">
        <v>1786</v>
      </c>
      <c r="D709" s="62" t="s">
        <v>1674</v>
      </c>
      <c r="E709" s="755"/>
      <c r="F709" s="750"/>
      <c r="G709" s="851" t="s">
        <v>1675</v>
      </c>
      <c r="H709" s="113" t="s">
        <v>39</v>
      </c>
      <c r="I709" s="64">
        <v>15</v>
      </c>
      <c r="J709" s="290"/>
      <c r="K709" s="813"/>
      <c r="L709" s="143">
        <f t="shared" si="224"/>
        <v>0</v>
      </c>
      <c r="M709" s="58"/>
      <c r="N709" s="55">
        <v>18.36</v>
      </c>
      <c r="O709" s="76"/>
      <c r="P709" s="52"/>
    </row>
    <row r="710" spans="1:16" ht="16.5" customHeight="1">
      <c r="A710" s="516">
        <v>13</v>
      </c>
      <c r="B710" s="517"/>
      <c r="C710" s="639" t="s">
        <v>1787</v>
      </c>
      <c r="D710" s="62" t="s">
        <v>1672</v>
      </c>
      <c r="E710" s="755"/>
      <c r="F710" s="750"/>
      <c r="G710" s="851" t="s">
        <v>1676</v>
      </c>
      <c r="H710" s="113" t="s">
        <v>39</v>
      </c>
      <c r="I710" s="64">
        <v>15</v>
      </c>
      <c r="J710" s="290">
        <f>(K710*8%)+K710</f>
        <v>0</v>
      </c>
      <c r="K710" s="813"/>
      <c r="L710" s="143">
        <f t="shared" si="224"/>
        <v>0</v>
      </c>
      <c r="M710" s="58">
        <f>(I710*K710)</f>
        <v>0</v>
      </c>
      <c r="N710" s="55">
        <v>33.42</v>
      </c>
      <c r="O710" s="518">
        <f>(K710-N710)/N710</f>
        <v>-1</v>
      </c>
      <c r="P710" s="519">
        <v>28.19</v>
      </c>
    </row>
    <row r="711" spans="1:16" ht="16.5" customHeight="1">
      <c r="A711" s="520">
        <v>14</v>
      </c>
      <c r="B711" s="61"/>
      <c r="C711" s="639" t="s">
        <v>1788</v>
      </c>
      <c r="D711" s="62" t="s">
        <v>1674</v>
      </c>
      <c r="E711" s="755"/>
      <c r="F711" s="750"/>
      <c r="G711" s="851" t="s">
        <v>1677</v>
      </c>
      <c r="H711" s="113" t="s">
        <v>39</v>
      </c>
      <c r="I711" s="64">
        <v>10</v>
      </c>
      <c r="J711" s="290"/>
      <c r="K711" s="813"/>
      <c r="L711" s="143">
        <f t="shared" si="224"/>
        <v>0</v>
      </c>
      <c r="M711" s="58"/>
      <c r="N711" s="55">
        <v>17.73</v>
      </c>
      <c r="O711" s="76"/>
      <c r="P711" s="519"/>
    </row>
    <row r="712" spans="1:16" ht="16.5" customHeight="1">
      <c r="A712" s="305">
        <v>15</v>
      </c>
      <c r="B712" s="61"/>
      <c r="C712" s="640" t="s">
        <v>1789</v>
      </c>
      <c r="D712" s="62" t="s">
        <v>1672</v>
      </c>
      <c r="E712" s="755"/>
      <c r="F712" s="750"/>
      <c r="G712" s="851" t="s">
        <v>1678</v>
      </c>
      <c r="H712" s="113" t="s">
        <v>39</v>
      </c>
      <c r="I712" s="64">
        <v>15</v>
      </c>
      <c r="J712" s="290">
        <f>(K712*8%)+K712</f>
        <v>0</v>
      </c>
      <c r="K712" s="813"/>
      <c r="L712" s="143">
        <f t="shared" si="224"/>
        <v>0</v>
      </c>
      <c r="M712" s="58">
        <f>(I712*K712)</f>
        <v>0</v>
      </c>
      <c r="N712" s="55">
        <v>37.26</v>
      </c>
      <c r="O712" s="518">
        <f>(K712-N712)/N712</f>
        <v>-1</v>
      </c>
      <c r="P712" s="519">
        <v>29.66</v>
      </c>
    </row>
    <row r="713" spans="1:16" ht="16.5" customHeight="1">
      <c r="A713" s="305">
        <v>16</v>
      </c>
      <c r="B713" s="61"/>
      <c r="C713" s="640" t="s">
        <v>1790</v>
      </c>
      <c r="D713" s="62" t="s">
        <v>1672</v>
      </c>
      <c r="E713" s="755"/>
      <c r="F713" s="750"/>
      <c r="G713" s="851" t="s">
        <v>1679</v>
      </c>
      <c r="H713" s="113" t="s">
        <v>39</v>
      </c>
      <c r="I713" s="64">
        <v>15</v>
      </c>
      <c r="J713" s="290"/>
      <c r="K713" s="813"/>
      <c r="L713" s="521">
        <f t="shared" si="224"/>
        <v>0</v>
      </c>
      <c r="M713" s="58"/>
      <c r="N713" s="55">
        <v>45.28</v>
      </c>
      <c r="O713" s="76"/>
      <c r="P713" s="52"/>
    </row>
    <row r="714" spans="1:16" ht="16.5" customHeight="1">
      <c r="A714" s="305">
        <v>17</v>
      </c>
      <c r="B714" s="115"/>
      <c r="C714" s="138" t="s">
        <v>1680</v>
      </c>
      <c r="D714" s="56" t="s">
        <v>1681</v>
      </c>
      <c r="E714" s="754"/>
      <c r="F714" s="742"/>
      <c r="G714" s="852" t="s">
        <v>1682</v>
      </c>
      <c r="H714" s="46" t="s">
        <v>39</v>
      </c>
      <c r="I714" s="47">
        <v>20</v>
      </c>
      <c r="J714" s="181">
        <f t="shared" ref="J714:J738" si="225">(K714*8%)+K714</f>
        <v>0</v>
      </c>
      <c r="K714" s="812"/>
      <c r="L714" s="177">
        <f>K714/500</f>
        <v>0</v>
      </c>
      <c r="M714" s="89"/>
      <c r="N714" s="55">
        <v>16.04</v>
      </c>
      <c r="O714" s="76"/>
      <c r="P714" s="52"/>
    </row>
    <row r="715" spans="1:16" ht="16.5" customHeight="1">
      <c r="A715" s="96"/>
      <c r="B715" s="53"/>
      <c r="C715" s="78" t="s">
        <v>1683</v>
      </c>
      <c r="D715" s="225"/>
      <c r="E715" s="748"/>
      <c r="F715" s="740"/>
      <c r="G715" s="839" t="s">
        <v>1684</v>
      </c>
      <c r="H715" s="36"/>
      <c r="I715" s="37"/>
      <c r="J715" s="38">
        <f t="shared" si="225"/>
        <v>0</v>
      </c>
      <c r="K715" s="806"/>
      <c r="L715" s="300"/>
      <c r="M715" s="40"/>
      <c r="N715" s="55"/>
      <c r="O715" s="76"/>
      <c r="P715" s="52"/>
    </row>
    <row r="716" spans="1:16" ht="16.5" customHeight="1">
      <c r="A716" s="305">
        <v>18</v>
      </c>
      <c r="B716" s="61" t="s">
        <v>1685</v>
      </c>
      <c r="C716" s="403" t="s">
        <v>1686</v>
      </c>
      <c r="D716" s="62" t="s">
        <v>1687</v>
      </c>
      <c r="E716" s="756"/>
      <c r="F716" s="750"/>
      <c r="G716" s="851" t="s">
        <v>1688</v>
      </c>
      <c r="H716" s="113" t="s">
        <v>39</v>
      </c>
      <c r="I716" s="64">
        <v>4</v>
      </c>
      <c r="J716" s="38">
        <f t="shared" si="225"/>
        <v>0</v>
      </c>
      <c r="K716" s="805"/>
      <c r="L716" s="301">
        <f t="shared" ref="L716:L721" si="226">K716/1000</f>
        <v>0</v>
      </c>
      <c r="M716" s="58">
        <f t="shared" ref="M716:M721" si="227">I716*K716</f>
        <v>0</v>
      </c>
      <c r="N716" s="55">
        <v>40.630000000000003</v>
      </c>
      <c r="O716" s="42">
        <f t="shared" ref="O716:O720" si="228">(K716-N716)/N716</f>
        <v>-1</v>
      </c>
      <c r="P716" s="52">
        <v>25.38</v>
      </c>
    </row>
    <row r="717" spans="1:16" ht="16.5" customHeight="1">
      <c r="A717" s="305">
        <v>19</v>
      </c>
      <c r="B717" s="61"/>
      <c r="C717" s="403"/>
      <c r="D717" s="62" t="s">
        <v>1687</v>
      </c>
      <c r="E717" s="756"/>
      <c r="F717" s="750"/>
      <c r="G717" s="851" t="s">
        <v>1689</v>
      </c>
      <c r="H717" s="113" t="s">
        <v>39</v>
      </c>
      <c r="I717" s="64">
        <v>30</v>
      </c>
      <c r="J717" s="38">
        <f t="shared" si="225"/>
        <v>0</v>
      </c>
      <c r="K717" s="805"/>
      <c r="L717" s="301">
        <f t="shared" si="226"/>
        <v>0</v>
      </c>
      <c r="M717" s="58">
        <f t="shared" si="227"/>
        <v>0</v>
      </c>
      <c r="N717" s="55">
        <v>40.6</v>
      </c>
      <c r="O717" s="42">
        <f t="shared" si="228"/>
        <v>-1</v>
      </c>
      <c r="P717" s="52">
        <v>26.1</v>
      </c>
    </row>
    <row r="718" spans="1:16" ht="16.5" customHeight="1">
      <c r="A718" s="305">
        <v>20</v>
      </c>
      <c r="B718" s="61"/>
      <c r="C718" s="179"/>
      <c r="D718" s="62" t="s">
        <v>1690</v>
      </c>
      <c r="E718" s="756"/>
      <c r="F718" s="750"/>
      <c r="G718" s="851" t="s">
        <v>1691</v>
      </c>
      <c r="H718" s="113" t="s">
        <v>39</v>
      </c>
      <c r="I718" s="64">
        <v>16</v>
      </c>
      <c r="J718" s="38">
        <f t="shared" si="225"/>
        <v>0</v>
      </c>
      <c r="K718" s="805"/>
      <c r="L718" s="301">
        <f t="shared" si="226"/>
        <v>0</v>
      </c>
      <c r="M718" s="58">
        <f t="shared" si="227"/>
        <v>0</v>
      </c>
      <c r="N718" s="55">
        <v>40.89</v>
      </c>
      <c r="O718" s="42">
        <f t="shared" si="228"/>
        <v>-1</v>
      </c>
      <c r="P718" s="52">
        <v>26.1</v>
      </c>
    </row>
    <row r="719" spans="1:16" ht="16.5" customHeight="1">
      <c r="A719" s="305">
        <v>21</v>
      </c>
      <c r="B719" s="61"/>
      <c r="C719" s="179"/>
      <c r="D719" s="62" t="s">
        <v>1687</v>
      </c>
      <c r="E719" s="749"/>
      <c r="F719" s="750"/>
      <c r="G719" s="851" t="s">
        <v>1692</v>
      </c>
      <c r="H719" s="113" t="s">
        <v>39</v>
      </c>
      <c r="I719" s="64">
        <v>10</v>
      </c>
      <c r="J719" s="88">
        <f t="shared" si="225"/>
        <v>0</v>
      </c>
      <c r="K719" s="805"/>
      <c r="L719" s="304">
        <f t="shared" si="226"/>
        <v>0</v>
      </c>
      <c r="M719" s="58">
        <f t="shared" si="227"/>
        <v>0</v>
      </c>
      <c r="N719" s="55">
        <v>40.6</v>
      </c>
      <c r="O719" s="42">
        <f t="shared" si="228"/>
        <v>-1</v>
      </c>
      <c r="P719" s="52">
        <v>26.1</v>
      </c>
    </row>
    <row r="720" spans="1:16" ht="16.5" customHeight="1">
      <c r="A720" s="305">
        <v>22</v>
      </c>
      <c r="B720" s="53" t="s">
        <v>1693</v>
      </c>
      <c r="C720" s="135" t="s">
        <v>1694</v>
      </c>
      <c r="D720" s="54" t="s">
        <v>1695</v>
      </c>
      <c r="E720" s="753"/>
      <c r="F720" s="740"/>
      <c r="G720" s="839" t="s">
        <v>1696</v>
      </c>
      <c r="H720" s="36" t="s">
        <v>39</v>
      </c>
      <c r="I720" s="37">
        <v>12</v>
      </c>
      <c r="J720" s="88">
        <f t="shared" si="225"/>
        <v>0</v>
      </c>
      <c r="K720" s="811"/>
      <c r="L720" s="136">
        <f t="shared" si="226"/>
        <v>0</v>
      </c>
      <c r="M720" s="40">
        <f t="shared" si="227"/>
        <v>0</v>
      </c>
      <c r="N720" s="55">
        <v>17.09</v>
      </c>
      <c r="O720" s="42">
        <f t="shared" si="228"/>
        <v>-1</v>
      </c>
      <c r="P720" s="52">
        <v>17.09</v>
      </c>
    </row>
    <row r="721" spans="1:16" ht="15.75">
      <c r="A721" s="305">
        <v>23</v>
      </c>
      <c r="B721" s="115" t="s">
        <v>1693</v>
      </c>
      <c r="C721" s="158" t="s">
        <v>1697</v>
      </c>
      <c r="D721" s="56" t="s">
        <v>1695</v>
      </c>
      <c r="E721" s="754"/>
      <c r="F721" s="742"/>
      <c r="G721" s="852" t="s">
        <v>1698</v>
      </c>
      <c r="H721" s="46" t="s">
        <v>39</v>
      </c>
      <c r="I721" s="47"/>
      <c r="J721" s="181">
        <f t="shared" si="225"/>
        <v>0</v>
      </c>
      <c r="K721" s="812"/>
      <c r="L721" s="177">
        <f t="shared" si="226"/>
        <v>0</v>
      </c>
      <c r="M721" s="89">
        <f t="shared" si="227"/>
        <v>0</v>
      </c>
      <c r="N721" s="55"/>
      <c r="O721" s="42"/>
      <c r="P721" s="43"/>
    </row>
    <row r="722" spans="1:16" ht="15.75">
      <c r="A722" s="305">
        <v>24</v>
      </c>
      <c r="B722" s="53" t="s">
        <v>1699</v>
      </c>
      <c r="C722" s="135" t="s">
        <v>1700</v>
      </c>
      <c r="D722" s="522" t="s">
        <v>1701</v>
      </c>
      <c r="E722" s="748"/>
      <c r="F722" s="740"/>
      <c r="G722" s="839" t="s">
        <v>1702</v>
      </c>
      <c r="H722" s="36" t="s">
        <v>39</v>
      </c>
      <c r="I722" s="37">
        <v>6</v>
      </c>
      <c r="J722" s="38">
        <f t="shared" si="225"/>
        <v>0</v>
      </c>
      <c r="K722" s="806"/>
      <c r="L722" s="300">
        <f t="shared" ref="L722:L723" si="229">K722/2000</f>
        <v>0</v>
      </c>
      <c r="M722" s="40">
        <f>(I722*K722)</f>
        <v>0</v>
      </c>
      <c r="N722" s="55">
        <v>17.440000000000001</v>
      </c>
      <c r="O722" s="42">
        <f t="shared" ref="O722:O725" si="230">(K722-N722)/N722</f>
        <v>-1</v>
      </c>
      <c r="P722" s="43">
        <v>18.52</v>
      </c>
    </row>
    <row r="723" spans="1:16" ht="16.5" customHeight="1">
      <c r="A723" s="305">
        <v>25</v>
      </c>
      <c r="B723" s="115"/>
      <c r="C723" s="109" t="s">
        <v>1703</v>
      </c>
      <c r="D723" s="168" t="s">
        <v>1701</v>
      </c>
      <c r="E723" s="752"/>
      <c r="F723" s="742"/>
      <c r="G723" s="852" t="s">
        <v>1704</v>
      </c>
      <c r="H723" s="46"/>
      <c r="I723" s="47">
        <v>2</v>
      </c>
      <c r="J723" s="127">
        <f t="shared" si="225"/>
        <v>0</v>
      </c>
      <c r="K723" s="807"/>
      <c r="L723" s="309">
        <f t="shared" si="229"/>
        <v>0</v>
      </c>
      <c r="M723" s="189">
        <f>K723*I723</f>
        <v>0</v>
      </c>
      <c r="N723" s="55">
        <v>13.16</v>
      </c>
      <c r="O723" s="42">
        <f t="shared" si="230"/>
        <v>-1</v>
      </c>
      <c r="P723" s="52">
        <v>13.99</v>
      </c>
    </row>
    <row r="724" spans="1:16" ht="16.5" customHeight="1">
      <c r="A724" s="305">
        <v>26</v>
      </c>
      <c r="B724" s="119" t="s">
        <v>1705</v>
      </c>
      <c r="C724" s="314" t="s">
        <v>1706</v>
      </c>
      <c r="D724" s="319" t="s">
        <v>1701</v>
      </c>
      <c r="E724" s="757"/>
      <c r="F724" s="758"/>
      <c r="G724" s="854" t="s">
        <v>1707</v>
      </c>
      <c r="H724" s="120" t="s">
        <v>1708</v>
      </c>
      <c r="I724" s="121">
        <v>6</v>
      </c>
      <c r="J724" s="127">
        <f t="shared" si="225"/>
        <v>0</v>
      </c>
      <c r="K724" s="837"/>
      <c r="L724" s="315">
        <f>K724/1000</f>
        <v>0</v>
      </c>
      <c r="M724" s="163">
        <f t="shared" ref="M724:M725" si="231">I724*K724</f>
        <v>0</v>
      </c>
      <c r="N724" s="55">
        <v>33.76</v>
      </c>
      <c r="O724" s="42">
        <f t="shared" si="230"/>
        <v>-1</v>
      </c>
      <c r="P724" s="43">
        <v>36.85</v>
      </c>
    </row>
    <row r="725" spans="1:16" ht="16.5" customHeight="1">
      <c r="A725" s="305">
        <v>27</v>
      </c>
      <c r="B725" s="198" t="s">
        <v>1709</v>
      </c>
      <c r="C725" s="108" t="s">
        <v>1710</v>
      </c>
      <c r="D725" s="54" t="s">
        <v>1711</v>
      </c>
      <c r="E725" s="748"/>
      <c r="F725" s="740"/>
      <c r="G725" s="839" t="s">
        <v>1712</v>
      </c>
      <c r="H725" s="36" t="s">
        <v>39</v>
      </c>
      <c r="I725" s="37">
        <v>6</v>
      </c>
      <c r="J725" s="38">
        <f t="shared" si="225"/>
        <v>0</v>
      </c>
      <c r="K725" s="806"/>
      <c r="L725" s="300">
        <f>K725/5304</f>
        <v>0</v>
      </c>
      <c r="M725" s="186">
        <f t="shared" si="231"/>
        <v>0</v>
      </c>
      <c r="N725" s="55">
        <v>35.119999999999997</v>
      </c>
      <c r="O725" s="42">
        <f t="shared" si="230"/>
        <v>-1</v>
      </c>
      <c r="P725" s="52">
        <v>34.520000000000003</v>
      </c>
    </row>
    <row r="726" spans="1:16" ht="16.5" customHeight="1">
      <c r="A726" s="96"/>
      <c r="B726" s="358"/>
      <c r="C726" s="222" t="s">
        <v>1713</v>
      </c>
      <c r="D726" s="110"/>
      <c r="E726" s="752"/>
      <c r="F726" s="742"/>
      <c r="G726" s="852" t="s">
        <v>442</v>
      </c>
      <c r="H726" s="46"/>
      <c r="I726" s="47"/>
      <c r="J726" s="127">
        <f t="shared" si="225"/>
        <v>0</v>
      </c>
      <c r="K726" s="807"/>
      <c r="L726" s="309"/>
      <c r="M726" s="223"/>
      <c r="N726" s="55"/>
      <c r="O726" s="51"/>
      <c r="P726" s="52"/>
    </row>
    <row r="727" spans="1:16" ht="16.5" customHeight="1">
      <c r="A727" s="305">
        <v>28</v>
      </c>
      <c r="B727" s="198" t="s">
        <v>1714</v>
      </c>
      <c r="C727" s="355" t="s">
        <v>1715</v>
      </c>
      <c r="D727" s="54" t="s">
        <v>1716</v>
      </c>
      <c r="E727" s="748"/>
      <c r="F727" s="740"/>
      <c r="G727" s="839" t="s">
        <v>1717</v>
      </c>
      <c r="H727" s="36" t="s">
        <v>39</v>
      </c>
      <c r="I727" s="37">
        <v>4</v>
      </c>
      <c r="J727" s="38">
        <f t="shared" si="225"/>
        <v>0</v>
      </c>
      <c r="K727" s="806"/>
      <c r="L727" s="300">
        <f>K727/6000</f>
        <v>0</v>
      </c>
      <c r="M727" s="40">
        <f>I727*K727</f>
        <v>0</v>
      </c>
      <c r="N727" s="55">
        <v>45.95</v>
      </c>
      <c r="O727" s="42">
        <f>(K727-N727)/N727</f>
        <v>-1</v>
      </c>
      <c r="P727" s="52">
        <v>45.95</v>
      </c>
    </row>
    <row r="728" spans="1:16" ht="16.5" customHeight="1">
      <c r="A728" s="96"/>
      <c r="B728" s="358"/>
      <c r="C728" s="109" t="s">
        <v>1718</v>
      </c>
      <c r="D728" s="110"/>
      <c r="E728" s="752"/>
      <c r="F728" s="742"/>
      <c r="G728" s="852"/>
      <c r="H728" s="46"/>
      <c r="I728" s="47"/>
      <c r="J728" s="127">
        <f t="shared" si="225"/>
        <v>0</v>
      </c>
      <c r="K728" s="807"/>
      <c r="L728" s="309"/>
      <c r="M728" s="523"/>
      <c r="N728" s="55"/>
      <c r="O728" s="51"/>
      <c r="P728" s="52"/>
    </row>
    <row r="729" spans="1:16" ht="16.5" customHeight="1">
      <c r="A729" s="305">
        <v>29</v>
      </c>
      <c r="B729" s="53" t="s">
        <v>1719</v>
      </c>
      <c r="C729" s="108" t="s">
        <v>1720</v>
      </c>
      <c r="D729" s="54" t="s">
        <v>1721</v>
      </c>
      <c r="E729" s="748"/>
      <c r="F729" s="740"/>
      <c r="G729" s="839" t="s">
        <v>1722</v>
      </c>
      <c r="H729" s="36" t="s">
        <v>39</v>
      </c>
      <c r="I729" s="37">
        <v>5</v>
      </c>
      <c r="J729" s="38">
        <f t="shared" si="225"/>
        <v>0</v>
      </c>
      <c r="K729" s="806"/>
      <c r="L729" s="300">
        <f>K729/1000</f>
        <v>0</v>
      </c>
      <c r="M729" s="40">
        <f>I729*K729</f>
        <v>0</v>
      </c>
      <c r="N729" s="55">
        <v>6.18</v>
      </c>
      <c r="O729" s="42">
        <f>(K729-N729)/N729</f>
        <v>-1</v>
      </c>
      <c r="P729" s="43">
        <v>6.49</v>
      </c>
    </row>
    <row r="730" spans="1:16" ht="16.5" customHeight="1">
      <c r="A730" s="96"/>
      <c r="B730" s="115"/>
      <c r="C730" s="222"/>
      <c r="D730" s="110"/>
      <c r="E730" s="752"/>
      <c r="F730" s="742"/>
      <c r="G730" s="852"/>
      <c r="H730" s="46"/>
      <c r="I730" s="47"/>
      <c r="J730" s="127">
        <f t="shared" si="225"/>
        <v>0</v>
      </c>
      <c r="K730" s="807"/>
      <c r="L730" s="309"/>
      <c r="M730" s="223"/>
      <c r="N730" s="55"/>
      <c r="O730" s="51"/>
      <c r="P730" s="52"/>
    </row>
    <row r="731" spans="1:16" ht="16.5" customHeight="1">
      <c r="A731" s="305">
        <v>30</v>
      </c>
      <c r="B731" s="53" t="s">
        <v>1723</v>
      </c>
      <c r="C731" s="108" t="s">
        <v>1724</v>
      </c>
      <c r="D731" s="225"/>
      <c r="E731" s="748"/>
      <c r="F731" s="740"/>
      <c r="G731" s="839" t="s">
        <v>885</v>
      </c>
      <c r="H731" s="36" t="s">
        <v>39</v>
      </c>
      <c r="I731" s="37">
        <v>7</v>
      </c>
      <c r="J731" s="38">
        <f t="shared" si="225"/>
        <v>0</v>
      </c>
      <c r="K731" s="806"/>
      <c r="L731" s="300">
        <f>K731/1000</f>
        <v>0</v>
      </c>
      <c r="M731" s="40">
        <f>I731*K731</f>
        <v>0</v>
      </c>
      <c r="N731" s="55">
        <v>6.18</v>
      </c>
      <c r="O731" s="42">
        <f>(K731-N731)/N731</f>
        <v>-1</v>
      </c>
      <c r="P731" s="43">
        <v>6.49</v>
      </c>
    </row>
    <row r="732" spans="1:16" ht="16.5" customHeight="1">
      <c r="A732" s="96"/>
      <c r="B732" s="115"/>
      <c r="C732" s="222"/>
      <c r="D732" s="56" t="s">
        <v>1721</v>
      </c>
      <c r="E732" s="752"/>
      <c r="F732" s="742"/>
      <c r="G732" s="852" t="s">
        <v>1725</v>
      </c>
      <c r="H732" s="46"/>
      <c r="I732" s="47"/>
      <c r="J732" s="127">
        <f t="shared" si="225"/>
        <v>0</v>
      </c>
      <c r="K732" s="807"/>
      <c r="L732" s="309"/>
      <c r="M732" s="89"/>
      <c r="N732" s="55"/>
      <c r="O732" s="51"/>
      <c r="P732" s="52"/>
    </row>
    <row r="733" spans="1:16" ht="16.5" customHeight="1">
      <c r="A733" s="305">
        <v>31</v>
      </c>
      <c r="B733" s="53" t="s">
        <v>1726</v>
      </c>
      <c r="C733" s="108" t="s">
        <v>1727</v>
      </c>
      <c r="D733" s="225"/>
      <c r="E733" s="748"/>
      <c r="F733" s="740"/>
      <c r="G733" s="839" t="s">
        <v>885</v>
      </c>
      <c r="H733" s="36" t="s">
        <v>39</v>
      </c>
      <c r="I733" s="37">
        <v>290</v>
      </c>
      <c r="J733" s="38">
        <f t="shared" si="225"/>
        <v>0</v>
      </c>
      <c r="K733" s="806"/>
      <c r="L733" s="300">
        <f>K733/1000</f>
        <v>0</v>
      </c>
      <c r="M733" s="40">
        <f>I733*K733</f>
        <v>0</v>
      </c>
      <c r="N733" s="55">
        <v>13.78</v>
      </c>
      <c r="O733" s="42">
        <f>(K733-N733)/N733</f>
        <v>-1</v>
      </c>
      <c r="P733" s="43">
        <v>15.6</v>
      </c>
    </row>
    <row r="734" spans="1:16" ht="16.5" customHeight="1">
      <c r="A734" s="96"/>
      <c r="B734" s="61"/>
      <c r="C734" s="179"/>
      <c r="D734" s="62" t="s">
        <v>1721</v>
      </c>
      <c r="E734" s="749"/>
      <c r="F734" s="750"/>
      <c r="G734" s="851" t="s">
        <v>1728</v>
      </c>
      <c r="H734" s="113"/>
      <c r="I734" s="64"/>
      <c r="J734" s="88">
        <f t="shared" si="225"/>
        <v>0</v>
      </c>
      <c r="K734" s="805"/>
      <c r="L734" s="304"/>
      <c r="M734" s="58"/>
      <c r="N734" s="55"/>
      <c r="O734" s="76"/>
      <c r="P734" s="52"/>
    </row>
    <row r="735" spans="1:16" ht="16.5" customHeight="1">
      <c r="A735" s="305">
        <v>32</v>
      </c>
      <c r="B735" s="53" t="s">
        <v>1729</v>
      </c>
      <c r="C735" s="108" t="s">
        <v>1730</v>
      </c>
      <c r="D735" s="54" t="s">
        <v>1721</v>
      </c>
      <c r="E735" s="753"/>
      <c r="F735" s="740"/>
      <c r="G735" s="839" t="s">
        <v>1731</v>
      </c>
      <c r="H735" s="36" t="s">
        <v>39</v>
      </c>
      <c r="I735" s="37">
        <v>10</v>
      </c>
      <c r="J735" s="88">
        <f t="shared" si="225"/>
        <v>0</v>
      </c>
      <c r="K735" s="811"/>
      <c r="L735" s="136">
        <f>K735/1000</f>
        <v>0</v>
      </c>
      <c r="M735" s="40">
        <f>K735*L735</f>
        <v>0</v>
      </c>
      <c r="N735" s="55">
        <v>37.9</v>
      </c>
      <c r="O735" s="42">
        <f>(K735-N735)/N735</f>
        <v>-1</v>
      </c>
      <c r="P735" s="43">
        <v>32.450000000000003</v>
      </c>
    </row>
    <row r="736" spans="1:16" ht="16.5" customHeight="1">
      <c r="A736" s="96"/>
      <c r="B736" s="115"/>
      <c r="C736" s="222"/>
      <c r="D736" s="110"/>
      <c r="E736" s="754"/>
      <c r="F736" s="924"/>
      <c r="G736" s="925"/>
      <c r="H736" s="46"/>
      <c r="I736" s="47"/>
      <c r="J736" s="181">
        <f t="shared" si="225"/>
        <v>0</v>
      </c>
      <c r="K736" s="812"/>
      <c r="L736" s="177"/>
      <c r="M736" s="89"/>
      <c r="N736" s="55"/>
      <c r="O736" s="51"/>
      <c r="P736" s="52"/>
    </row>
    <row r="737" spans="1:16" ht="23.25" customHeight="1">
      <c r="A737" s="226">
        <v>33</v>
      </c>
      <c r="B737" s="115" t="s">
        <v>1732</v>
      </c>
      <c r="C737" s="230" t="s">
        <v>1733</v>
      </c>
      <c r="D737" s="56" t="s">
        <v>1277</v>
      </c>
      <c r="E737" s="754"/>
      <c r="F737" s="742"/>
      <c r="G737" s="852" t="s">
        <v>1734</v>
      </c>
      <c r="H737" s="46" t="s">
        <v>39</v>
      </c>
      <c r="I737" s="47">
        <v>5</v>
      </c>
      <c r="J737" s="181">
        <f t="shared" si="225"/>
        <v>0</v>
      </c>
      <c r="K737" s="807"/>
      <c r="L737" s="177">
        <f t="shared" ref="L737:L738" si="232">K737/100</f>
        <v>0</v>
      </c>
      <c r="M737" s="89">
        <f>I737*K737</f>
        <v>0</v>
      </c>
      <c r="N737" s="55">
        <v>23.44</v>
      </c>
      <c r="O737" s="42">
        <f t="shared" ref="O737:O738" si="233">(K737-N737)/N737</f>
        <v>-1</v>
      </c>
      <c r="P737" s="43">
        <v>23.02</v>
      </c>
    </row>
    <row r="738" spans="1:16" ht="16.5" customHeight="1">
      <c r="A738" s="226">
        <v>34</v>
      </c>
      <c r="B738" s="53" t="s">
        <v>1735</v>
      </c>
      <c r="C738" s="165" t="s">
        <v>1736</v>
      </c>
      <c r="D738" s="54" t="s">
        <v>1277</v>
      </c>
      <c r="E738" s="926"/>
      <c r="F738" s="740"/>
      <c r="G738" s="839" t="s">
        <v>1737</v>
      </c>
      <c r="H738" s="36" t="s">
        <v>39</v>
      </c>
      <c r="I738" s="37">
        <v>200</v>
      </c>
      <c r="J738" s="88">
        <f t="shared" si="225"/>
        <v>0</v>
      </c>
      <c r="K738" s="805"/>
      <c r="L738" s="136">
        <f t="shared" si="232"/>
        <v>0</v>
      </c>
      <c r="M738" s="40">
        <f>K738*I738</f>
        <v>0</v>
      </c>
      <c r="N738" s="55">
        <v>18.75</v>
      </c>
      <c r="O738" s="42">
        <f t="shared" si="233"/>
        <v>-1</v>
      </c>
      <c r="P738" s="43">
        <v>20.73</v>
      </c>
    </row>
    <row r="739" spans="1:16" ht="30" customHeight="1">
      <c r="A739" s="246"/>
      <c r="B739" s="560" t="s">
        <v>1738</v>
      </c>
      <c r="C739" s="561"/>
      <c r="D739" s="561"/>
      <c r="E739" s="561"/>
      <c r="F739" s="561"/>
      <c r="G739" s="561"/>
      <c r="H739" s="561"/>
      <c r="I739" s="561"/>
      <c r="J739" s="489"/>
      <c r="K739" s="548">
        <f>SUM(M694:M738)</f>
        <v>0</v>
      </c>
      <c r="L739" s="549"/>
      <c r="M739" s="550"/>
      <c r="N739" s="243"/>
      <c r="O739" s="375">
        <f>SUM(O694:O738)/29</f>
        <v>-0.89655172413793105</v>
      </c>
      <c r="P739" s="376"/>
    </row>
    <row r="740" spans="1:16" ht="30" customHeight="1">
      <c r="A740" s="246"/>
      <c r="B740" s="541" t="s">
        <v>1739</v>
      </c>
      <c r="C740" s="542"/>
      <c r="D740" s="542"/>
      <c r="E740" s="542"/>
      <c r="F740" s="542"/>
      <c r="G740" s="542"/>
      <c r="H740" s="542"/>
      <c r="I740" s="542"/>
      <c r="J740" s="542"/>
      <c r="K740" s="542"/>
      <c r="L740" s="542"/>
      <c r="M740" s="543"/>
      <c r="N740" s="243"/>
      <c r="O740" s="247"/>
      <c r="P740" s="461"/>
    </row>
    <row r="741" spans="1:16" ht="15.75" customHeight="1">
      <c r="A741" s="31">
        <v>1</v>
      </c>
      <c r="B741" s="53" t="s">
        <v>1740</v>
      </c>
      <c r="C741" s="108" t="s">
        <v>1741</v>
      </c>
      <c r="D741" s="54" t="s">
        <v>1742</v>
      </c>
      <c r="E741" s="748"/>
      <c r="F741" s="815"/>
      <c r="G741" s="839" t="s">
        <v>1743</v>
      </c>
      <c r="H741" s="36" t="s">
        <v>39</v>
      </c>
      <c r="I741" s="37">
        <v>14</v>
      </c>
      <c r="J741" s="38">
        <f t="shared" ref="J741:J743" si="234">(K741*8%)+K741</f>
        <v>0</v>
      </c>
      <c r="K741" s="796"/>
      <c r="L741" s="300">
        <f>K741/8</f>
        <v>0</v>
      </c>
      <c r="M741" s="228">
        <f>I741*K741</f>
        <v>0</v>
      </c>
      <c r="N741" s="41">
        <v>35.880000000000003</v>
      </c>
      <c r="O741" s="42">
        <f>(K741-N741)/N741</f>
        <v>-1</v>
      </c>
      <c r="P741" s="43">
        <v>35.880000000000003</v>
      </c>
    </row>
    <row r="742" spans="1:16" ht="16.5" customHeight="1">
      <c r="A742" s="31"/>
      <c r="B742" s="115"/>
      <c r="C742" s="222"/>
      <c r="D742" s="110"/>
      <c r="E742" s="752"/>
      <c r="F742" s="817"/>
      <c r="G742" s="852"/>
      <c r="H742" s="46"/>
      <c r="I742" s="47"/>
      <c r="J742" s="38">
        <f t="shared" si="234"/>
        <v>0</v>
      </c>
      <c r="K742" s="797"/>
      <c r="L742" s="309"/>
      <c r="M742" s="295"/>
      <c r="N742" s="50"/>
      <c r="O742" s="51"/>
      <c r="P742" s="52"/>
    </row>
    <row r="743" spans="1:16" ht="16.5" customHeight="1">
      <c r="A743" s="31">
        <v>2</v>
      </c>
      <c r="B743" s="61" t="s">
        <v>1744</v>
      </c>
      <c r="C743" s="639" t="s">
        <v>1745</v>
      </c>
      <c r="D743" s="62" t="s">
        <v>1746</v>
      </c>
      <c r="E743" s="756"/>
      <c r="F743" s="816"/>
      <c r="G743" s="839" t="s">
        <v>1747</v>
      </c>
      <c r="H743" s="36" t="s">
        <v>39</v>
      </c>
      <c r="I743" s="37">
        <v>5</v>
      </c>
      <c r="J743" s="38">
        <f t="shared" si="234"/>
        <v>0</v>
      </c>
      <c r="K743" s="796"/>
      <c r="L743" s="300">
        <f>K743/576</f>
        <v>0</v>
      </c>
      <c r="M743" s="228">
        <f>I743*K743</f>
        <v>0</v>
      </c>
      <c r="N743" s="41">
        <v>14.31</v>
      </c>
      <c r="O743" s="42">
        <f>(K743-N743)/N743</f>
        <v>-1</v>
      </c>
      <c r="P743" s="43">
        <v>12.81</v>
      </c>
    </row>
    <row r="744" spans="1:16" ht="16.5" customHeight="1">
      <c r="A744" s="31"/>
      <c r="B744" s="115"/>
      <c r="C744" s="328" t="s">
        <v>1748</v>
      </c>
      <c r="D744" s="524"/>
      <c r="E744" s="927"/>
      <c r="F744" s="817"/>
      <c r="G744" s="852"/>
      <c r="H744" s="46"/>
      <c r="I744" s="47"/>
      <c r="J744" s="38"/>
      <c r="K744" s="797"/>
      <c r="L744" s="309"/>
      <c r="M744" s="295"/>
      <c r="N744" s="50"/>
      <c r="O744" s="76"/>
      <c r="P744" s="52" t="s">
        <v>230</v>
      </c>
    </row>
    <row r="745" spans="1:16" ht="16.5" customHeight="1">
      <c r="A745" s="525">
        <v>3</v>
      </c>
      <c r="B745" s="53" t="s">
        <v>1749</v>
      </c>
      <c r="C745" s="108" t="s">
        <v>1750</v>
      </c>
      <c r="D745" s="54" t="s">
        <v>1751</v>
      </c>
      <c r="E745" s="748"/>
      <c r="F745" s="815"/>
      <c r="G745" s="839" t="s">
        <v>1752</v>
      </c>
      <c r="H745" s="36" t="s">
        <v>39</v>
      </c>
      <c r="I745" s="37">
        <v>6</v>
      </c>
      <c r="J745" s="38">
        <f t="shared" ref="J745:J746" si="235">(K745*8%)+K745</f>
        <v>0</v>
      </c>
      <c r="K745" s="796"/>
      <c r="L745" s="300">
        <f>K745/400</f>
        <v>0</v>
      </c>
      <c r="M745" s="228">
        <f>I745*K745</f>
        <v>0</v>
      </c>
      <c r="N745" s="41">
        <v>64.06</v>
      </c>
      <c r="O745" s="42">
        <f>(K745-N745)/N745</f>
        <v>-1</v>
      </c>
      <c r="P745" s="43">
        <v>64.06</v>
      </c>
    </row>
    <row r="746" spans="1:16" ht="16.5" customHeight="1">
      <c r="A746" s="31"/>
      <c r="B746" s="61"/>
      <c r="C746" s="179"/>
      <c r="D746" s="112"/>
      <c r="E746" s="756"/>
      <c r="F746" s="816"/>
      <c r="G746" s="851"/>
      <c r="H746" s="113"/>
      <c r="I746" s="64"/>
      <c r="J746" s="38">
        <f t="shared" si="235"/>
        <v>0</v>
      </c>
      <c r="K746" s="831"/>
      <c r="L746" s="301" t="s">
        <v>123</v>
      </c>
      <c r="M746" s="232"/>
      <c r="N746" s="299"/>
      <c r="O746" s="51"/>
      <c r="P746" s="52"/>
    </row>
    <row r="747" spans="1:16" ht="16.5" customHeight="1">
      <c r="A747" s="226">
        <v>4</v>
      </c>
      <c r="B747" s="119" t="s">
        <v>1753</v>
      </c>
      <c r="C747" s="641" t="s">
        <v>1783</v>
      </c>
      <c r="D747" s="319" t="s">
        <v>1383</v>
      </c>
      <c r="E747" s="757"/>
      <c r="F747" s="819"/>
      <c r="G747" s="854" t="s">
        <v>1754</v>
      </c>
      <c r="H747" s="120" t="s">
        <v>39</v>
      </c>
      <c r="I747" s="121">
        <v>2</v>
      </c>
      <c r="J747" s="127"/>
      <c r="K747" s="905"/>
      <c r="L747" s="315"/>
      <c r="M747" s="526"/>
      <c r="N747" s="386">
        <v>57.41</v>
      </c>
      <c r="O747" s="76"/>
      <c r="P747" s="52"/>
    </row>
    <row r="748" spans="1:16" ht="16.5" thickBot="1">
      <c r="A748" s="226">
        <v>5</v>
      </c>
      <c r="B748" s="61" t="s">
        <v>1755</v>
      </c>
      <c r="C748" s="229" t="s">
        <v>1756</v>
      </c>
      <c r="D748" s="62" t="s">
        <v>1383</v>
      </c>
      <c r="E748" s="749"/>
      <c r="F748" s="816"/>
      <c r="G748" s="851" t="s">
        <v>1757</v>
      </c>
      <c r="H748" s="113" t="s">
        <v>39</v>
      </c>
      <c r="I748" s="64">
        <v>12</v>
      </c>
      <c r="J748" s="513">
        <f>(K748*8%)+K748</f>
        <v>0</v>
      </c>
      <c r="K748" s="833"/>
      <c r="L748" s="304">
        <f>K748/4</f>
        <v>0</v>
      </c>
      <c r="M748" s="232">
        <f>K748*I748</f>
        <v>0</v>
      </c>
      <c r="N748" s="299">
        <v>57.7</v>
      </c>
      <c r="O748" s="42">
        <f>(K748-N748)/N748</f>
        <v>-1</v>
      </c>
      <c r="P748" s="43">
        <v>57.7</v>
      </c>
    </row>
    <row r="749" spans="1:16" ht="30" customHeight="1" thickTop="1" thickBot="1">
      <c r="A749" s="246"/>
      <c r="B749" s="586" t="s">
        <v>1758</v>
      </c>
      <c r="C749" s="587"/>
      <c r="D749" s="587"/>
      <c r="E749" s="587"/>
      <c r="F749" s="587"/>
      <c r="G749" s="587"/>
      <c r="H749" s="587"/>
      <c r="I749" s="588"/>
      <c r="J749" s="589"/>
      <c r="K749" s="590">
        <f>SUM(M741:M748)</f>
        <v>0</v>
      </c>
      <c r="L749" s="587"/>
      <c r="M749" s="591"/>
      <c r="N749" s="243"/>
      <c r="O749" s="527">
        <f>SUM(O741:O748)/4</f>
        <v>-1</v>
      </c>
      <c r="P749" s="528"/>
    </row>
    <row r="750" spans="1:16" ht="40.5" customHeight="1" thickTop="1">
      <c r="A750" s="592"/>
      <c r="B750" s="608" t="s">
        <v>1759</v>
      </c>
      <c r="C750" s="549"/>
      <c r="D750" s="549"/>
      <c r="E750" s="549"/>
      <c r="F750" s="549"/>
      <c r="G750" s="549"/>
      <c r="H750" s="549"/>
      <c r="I750" s="549"/>
      <c r="J750" s="549"/>
      <c r="K750" s="549"/>
      <c r="L750" s="549"/>
      <c r="M750" s="549"/>
      <c r="N750" s="601"/>
      <c r="O750" s="529" t="s">
        <v>1186</v>
      </c>
      <c r="P750" s="530"/>
    </row>
    <row r="751" spans="1:16" ht="24.75" customHeight="1" thickBot="1">
      <c r="A751" s="592"/>
      <c r="B751" s="609" t="s">
        <v>1760</v>
      </c>
      <c r="C751" s="610"/>
      <c r="D751" s="610"/>
      <c r="E751" s="610"/>
      <c r="F751" s="610"/>
      <c r="G751" s="610"/>
      <c r="H751" s="928"/>
      <c r="I751" s="929"/>
      <c r="J751" s="611"/>
      <c r="K751" s="612"/>
      <c r="L751" s="613"/>
      <c r="M751" s="594"/>
      <c r="N751" s="602"/>
    </row>
    <row r="752" spans="1:16" ht="15.75" customHeight="1" thickTop="1">
      <c r="A752" s="592"/>
      <c r="B752" s="614"/>
      <c r="C752" s="615"/>
      <c r="D752" s="616"/>
      <c r="E752" s="617"/>
      <c r="F752" s="618"/>
      <c r="G752" s="619"/>
      <c r="H752" s="620"/>
      <c r="I752" s="621"/>
      <c r="J752" s="622"/>
      <c r="K752" s="612"/>
      <c r="L752" s="613"/>
      <c r="M752" s="594"/>
      <c r="N752" s="602"/>
    </row>
    <row r="753" spans="1:16" ht="40.5" customHeight="1" thickBot="1">
      <c r="A753" s="592"/>
      <c r="B753" s="623" t="s">
        <v>1761</v>
      </c>
      <c r="C753" s="610"/>
      <c r="D753" s="610"/>
      <c r="E753" s="610"/>
      <c r="F753" s="624"/>
      <c r="G753" s="625"/>
      <c r="H753" s="626" t="s">
        <v>1762</v>
      </c>
      <c r="I753" s="625"/>
      <c r="J753" s="627"/>
      <c r="K753" s="628" t="s">
        <v>1763</v>
      </c>
      <c r="L753" s="625"/>
      <c r="M753" s="594"/>
      <c r="N753" s="603" t="s">
        <v>1764</v>
      </c>
    </row>
    <row r="754" spans="1:16" ht="30.75" customHeight="1" thickBot="1">
      <c r="A754" s="592"/>
      <c r="B754" s="629" t="s">
        <v>1765</v>
      </c>
      <c r="C754" s="610"/>
      <c r="D754" s="610"/>
      <c r="E754" s="610"/>
      <c r="F754" s="577">
        <f>L187</f>
        <v>0</v>
      </c>
      <c r="G754" s="543"/>
      <c r="H754" s="582">
        <v>97</v>
      </c>
      <c r="I754" s="543"/>
      <c r="J754" s="531"/>
      <c r="K754" s="930"/>
      <c r="L754" s="931"/>
      <c r="M754" s="630"/>
      <c r="N754" s="604">
        <v>104</v>
      </c>
      <c r="P754" s="532" t="s">
        <v>1766</v>
      </c>
    </row>
    <row r="755" spans="1:16" ht="27.75" customHeight="1" thickBot="1">
      <c r="A755" s="592"/>
      <c r="B755" s="629" t="s">
        <v>1767</v>
      </c>
      <c r="C755" s="610"/>
      <c r="D755" s="610"/>
      <c r="E755" s="610"/>
      <c r="F755" s="577">
        <f>L340</f>
        <v>0</v>
      </c>
      <c r="G755" s="543"/>
      <c r="H755" s="582">
        <v>97</v>
      </c>
      <c r="I755" s="543"/>
      <c r="J755" s="531"/>
      <c r="K755" s="930"/>
      <c r="L755" s="931"/>
      <c r="M755" s="631"/>
      <c r="N755" s="604">
        <v>104</v>
      </c>
      <c r="P755" s="532" t="s">
        <v>1768</v>
      </c>
    </row>
    <row r="756" spans="1:16" ht="33.75" customHeight="1" thickBot="1">
      <c r="A756" s="592"/>
      <c r="B756" s="629" t="s">
        <v>1769</v>
      </c>
      <c r="C756" s="610"/>
      <c r="D756" s="610"/>
      <c r="E756" s="610"/>
      <c r="F756" s="577">
        <f>L506</f>
        <v>0</v>
      </c>
      <c r="G756" s="543"/>
      <c r="H756" s="578">
        <v>98</v>
      </c>
      <c r="I756" s="543"/>
      <c r="J756" s="531"/>
      <c r="K756" s="930"/>
      <c r="L756" s="931"/>
      <c r="M756" s="630"/>
      <c r="N756" s="604">
        <v>103</v>
      </c>
      <c r="P756" s="532" t="s">
        <v>1768</v>
      </c>
    </row>
    <row r="757" spans="1:16" ht="28.5" customHeight="1" thickBot="1">
      <c r="A757" s="592"/>
      <c r="B757" s="629" t="s">
        <v>1770</v>
      </c>
      <c r="C757" s="610"/>
      <c r="D757" s="610"/>
      <c r="E757" s="610"/>
      <c r="F757" s="577">
        <f>L563</f>
        <v>0</v>
      </c>
      <c r="G757" s="543"/>
      <c r="H757" s="582">
        <v>38</v>
      </c>
      <c r="I757" s="543"/>
      <c r="J757" s="531"/>
      <c r="K757" s="930"/>
      <c r="L757" s="931"/>
      <c r="M757" s="630"/>
      <c r="N757" s="604">
        <v>39</v>
      </c>
      <c r="P757" s="532" t="s">
        <v>1768</v>
      </c>
    </row>
    <row r="758" spans="1:16" ht="29.25" customHeight="1" thickBot="1">
      <c r="A758" s="593" t="s">
        <v>678</v>
      </c>
      <c r="B758" s="629" t="s">
        <v>1323</v>
      </c>
      <c r="C758" s="610"/>
      <c r="D758" s="610"/>
      <c r="E758" s="610"/>
      <c r="F758" s="577">
        <f>L692</f>
        <v>0</v>
      </c>
      <c r="G758" s="543"/>
      <c r="H758" s="582">
        <v>87</v>
      </c>
      <c r="I758" s="543"/>
      <c r="J758" s="531"/>
      <c r="K758" s="930"/>
      <c r="L758" s="931"/>
      <c r="M758" s="630"/>
      <c r="N758" s="604">
        <v>88</v>
      </c>
      <c r="P758" s="532" t="s">
        <v>1766</v>
      </c>
    </row>
    <row r="759" spans="1:16" ht="33" customHeight="1" thickBot="1">
      <c r="A759" s="592"/>
      <c r="B759" s="629" t="s">
        <v>1771</v>
      </c>
      <c r="C759" s="610"/>
      <c r="D759" s="610"/>
      <c r="E759" s="610"/>
      <c r="F759" s="577">
        <f>L739</f>
        <v>0</v>
      </c>
      <c r="G759" s="543"/>
      <c r="H759" s="582">
        <v>34</v>
      </c>
      <c r="I759" s="543"/>
      <c r="J759" s="531"/>
      <c r="K759" s="930"/>
      <c r="L759" s="931"/>
      <c r="M759" s="630"/>
      <c r="N759" s="604">
        <v>34</v>
      </c>
      <c r="P759" s="532" t="s">
        <v>1768</v>
      </c>
    </row>
    <row r="760" spans="1:16" ht="33" customHeight="1" thickBot="1">
      <c r="A760" s="594"/>
      <c r="B760" s="629" t="s">
        <v>1739</v>
      </c>
      <c r="C760" s="610"/>
      <c r="D760" s="610"/>
      <c r="E760" s="610"/>
      <c r="F760" s="577">
        <f>L749</f>
        <v>0</v>
      </c>
      <c r="G760" s="543"/>
      <c r="H760" s="578">
        <v>5</v>
      </c>
      <c r="I760" s="543"/>
      <c r="J760" s="531"/>
      <c r="K760" s="930"/>
      <c r="L760" s="931"/>
      <c r="M760" s="630"/>
      <c r="N760" s="604">
        <v>5</v>
      </c>
      <c r="P760" s="532" t="s">
        <v>1768</v>
      </c>
    </row>
    <row r="761" spans="1:16" ht="42.75" customHeight="1" thickBot="1">
      <c r="A761" s="594"/>
      <c r="B761" s="584" t="s">
        <v>1772</v>
      </c>
      <c r="C761" s="584"/>
      <c r="D761" s="584"/>
      <c r="E761" s="585"/>
      <c r="F761" s="579">
        <f>F754+F755+F756+F757+F758+F759+F760</f>
        <v>0</v>
      </c>
      <c r="G761" s="543"/>
      <c r="H761" s="580">
        <f>SUM(H754:H760)</f>
        <v>456</v>
      </c>
      <c r="I761" s="543"/>
      <c r="J761" s="533"/>
      <c r="K761" s="932"/>
      <c r="L761" s="931"/>
      <c r="M761" s="632"/>
      <c r="N761" s="605">
        <f>SUM(N754:N760)</f>
        <v>477</v>
      </c>
      <c r="P761" s="532" t="s">
        <v>1773</v>
      </c>
    </row>
    <row r="762" spans="1:16" ht="40.5" customHeight="1" thickBot="1">
      <c r="A762" s="595"/>
      <c r="B762" s="633" t="s">
        <v>1774</v>
      </c>
      <c r="C762" s="610"/>
      <c r="D762" s="933"/>
      <c r="E762" s="934"/>
      <c r="F762" s="934"/>
      <c r="G762" s="934"/>
      <c r="H762" s="934"/>
      <c r="I762" s="934"/>
      <c r="J762" s="934"/>
      <c r="K762" s="934"/>
      <c r="L762" s="934"/>
      <c r="M762" s="934"/>
      <c r="N762" s="602"/>
    </row>
    <row r="763" spans="1:16" ht="15.75" customHeight="1">
      <c r="A763" s="595"/>
      <c r="B763" s="634"/>
      <c r="C763" s="610"/>
      <c r="D763" s="610"/>
      <c r="E763" s="610"/>
      <c r="F763" s="610"/>
      <c r="G763" s="610"/>
      <c r="H763" s="610"/>
      <c r="I763" s="610"/>
      <c r="J763" s="610"/>
      <c r="K763" s="610"/>
      <c r="L763" s="610"/>
      <c r="M763" s="583"/>
      <c r="N763" s="602"/>
    </row>
    <row r="764" spans="1:16" ht="23.25">
      <c r="A764" s="596"/>
      <c r="B764" s="635" t="s">
        <v>1775</v>
      </c>
      <c r="C764" s="610"/>
      <c r="D764" s="610"/>
      <c r="E764" s="610"/>
      <c r="F764" s="610"/>
      <c r="G764" s="610"/>
      <c r="H764" s="610"/>
      <c r="I764" s="610"/>
      <c r="J764" s="610"/>
      <c r="K764" s="610"/>
      <c r="L764" s="610"/>
      <c r="M764" s="583"/>
      <c r="N764" s="606"/>
    </row>
    <row r="765" spans="1:16" ht="45" customHeight="1" thickBot="1">
      <c r="A765" s="597"/>
      <c r="B765" s="636" t="s">
        <v>1776</v>
      </c>
      <c r="C765" s="610"/>
      <c r="D765" s="935"/>
      <c r="E765" s="934"/>
      <c r="F765" s="934"/>
      <c r="G765" s="934"/>
      <c r="H765" s="934"/>
      <c r="I765" s="934"/>
      <c r="J765" s="934"/>
      <c r="K765" s="934"/>
      <c r="L765" s="934"/>
      <c r="M765" s="934"/>
      <c r="N765" s="607"/>
    </row>
    <row r="766" spans="1:16" ht="45" customHeight="1" thickBot="1">
      <c r="A766" s="598"/>
      <c r="B766" s="637" t="s">
        <v>1777</v>
      </c>
      <c r="C766" s="610"/>
      <c r="D766" s="936"/>
      <c r="E766" s="937"/>
      <c r="F766" s="937"/>
      <c r="G766" s="937"/>
      <c r="H766" s="937"/>
      <c r="I766" s="937"/>
      <c r="J766" s="937"/>
      <c r="K766" s="937"/>
      <c r="L766" s="937"/>
      <c r="M766" s="937"/>
      <c r="N766" s="601"/>
    </row>
    <row r="767" spans="1:16" ht="45" customHeight="1" thickBot="1">
      <c r="A767" s="599"/>
      <c r="B767" s="636" t="s">
        <v>1778</v>
      </c>
      <c r="C767" s="610"/>
      <c r="D767" s="938"/>
      <c r="E767" s="937"/>
      <c r="F767" s="937"/>
      <c r="G767" s="937"/>
      <c r="H767" s="937"/>
      <c r="I767" s="937"/>
      <c r="J767" s="937"/>
      <c r="K767" s="937"/>
      <c r="L767" s="937"/>
      <c r="M767" s="937"/>
      <c r="N767" s="602"/>
    </row>
    <row r="768" spans="1:16" ht="45" customHeight="1" thickBot="1">
      <c r="A768" s="598"/>
      <c r="B768" s="638" t="s">
        <v>1779</v>
      </c>
      <c r="C768" s="610"/>
      <c r="D768" s="939"/>
      <c r="E768" s="937"/>
      <c r="F768" s="937"/>
      <c r="G768" s="937"/>
      <c r="H768" s="937"/>
      <c r="I768" s="937"/>
      <c r="J768" s="937"/>
      <c r="K768" s="937"/>
      <c r="L768" s="937"/>
      <c r="M768" s="937"/>
      <c r="N768" s="601"/>
    </row>
    <row r="769" spans="1:14" ht="45" customHeight="1" thickBot="1">
      <c r="A769" s="598"/>
      <c r="B769" s="638" t="s">
        <v>1780</v>
      </c>
      <c r="C769" s="610"/>
      <c r="D769" s="940"/>
      <c r="E769" s="937"/>
      <c r="F769" s="937"/>
      <c r="G769" s="937"/>
      <c r="H769" s="937"/>
      <c r="I769" s="937"/>
      <c r="J769" s="937"/>
      <c r="K769" s="937"/>
      <c r="L769" s="937"/>
      <c r="M769" s="937"/>
      <c r="N769" s="601"/>
    </row>
    <row r="770" spans="1:14" ht="45" customHeight="1" thickBot="1">
      <c r="A770" s="600"/>
      <c r="B770" s="637" t="s">
        <v>1781</v>
      </c>
      <c r="C770" s="610"/>
      <c r="D770" s="940"/>
      <c r="E770" s="937"/>
      <c r="F770" s="937"/>
      <c r="G770" s="937"/>
      <c r="H770" s="937"/>
      <c r="I770" s="937"/>
      <c r="J770" s="937"/>
      <c r="K770" s="937"/>
      <c r="L770" s="937"/>
      <c r="M770" s="937"/>
      <c r="N770" s="601"/>
    </row>
    <row r="771" spans="1:14" ht="45" customHeight="1" thickBot="1">
      <c r="A771" s="601"/>
      <c r="B771" s="638" t="s">
        <v>1782</v>
      </c>
      <c r="C771" s="583"/>
      <c r="D771" s="940"/>
      <c r="E771" s="937"/>
      <c r="F771" s="937"/>
      <c r="G771" s="937"/>
      <c r="H771" s="937"/>
      <c r="I771" s="937"/>
      <c r="J771" s="937"/>
      <c r="K771" s="937"/>
      <c r="L771" s="937"/>
      <c r="M771" s="937"/>
      <c r="N771" s="601"/>
    </row>
  </sheetData>
  <sheetProtection sheet="1" objects="1" scenarios="1" selectLockedCells="1"/>
  <mergeCells count="150">
    <mergeCell ref="K754:L754"/>
    <mergeCell ref="K755:L755"/>
    <mergeCell ref="K756:L756"/>
    <mergeCell ref="K757:L757"/>
    <mergeCell ref="K758:L758"/>
    <mergeCell ref="K759:L759"/>
    <mergeCell ref="K760:L760"/>
    <mergeCell ref="K761:L761"/>
    <mergeCell ref="B754:E754"/>
    <mergeCell ref="B755:E755"/>
    <mergeCell ref="F755:G755"/>
    <mergeCell ref="H755:I755"/>
    <mergeCell ref="B756:E756"/>
    <mergeCell ref="F756:G756"/>
    <mergeCell ref="H756:I756"/>
    <mergeCell ref="F759:G759"/>
    <mergeCell ref="H759:I759"/>
    <mergeCell ref="B757:E757"/>
    <mergeCell ref="F757:G757"/>
    <mergeCell ref="H757:I757"/>
    <mergeCell ref="B758:E758"/>
    <mergeCell ref="F758:G758"/>
    <mergeCell ref="H758:I758"/>
    <mergeCell ref="B759:E759"/>
    <mergeCell ref="B766:C766"/>
    <mergeCell ref="D766:M766"/>
    <mergeCell ref="B770:C770"/>
    <mergeCell ref="B771:C771"/>
    <mergeCell ref="B767:C767"/>
    <mergeCell ref="D767:M767"/>
    <mergeCell ref="B768:C768"/>
    <mergeCell ref="D768:M768"/>
    <mergeCell ref="B769:C769"/>
    <mergeCell ref="D769:M769"/>
    <mergeCell ref="D770:M770"/>
    <mergeCell ref="D771:M771"/>
    <mergeCell ref="F761:G761"/>
    <mergeCell ref="H761:I761"/>
    <mergeCell ref="B762:C762"/>
    <mergeCell ref="D762:M762"/>
    <mergeCell ref="B763:M763"/>
    <mergeCell ref="B764:M764"/>
    <mergeCell ref="B765:C765"/>
    <mergeCell ref="D765:M765"/>
    <mergeCell ref="B761:E761"/>
    <mergeCell ref="B662:B663"/>
    <mergeCell ref="G686:G687"/>
    <mergeCell ref="B688:B689"/>
    <mergeCell ref="B692:I692"/>
    <mergeCell ref="K692:M692"/>
    <mergeCell ref="B693:M693"/>
    <mergeCell ref="B760:E760"/>
    <mergeCell ref="F760:G760"/>
    <mergeCell ref="H760:I760"/>
    <mergeCell ref="B705:B706"/>
    <mergeCell ref="B739:I739"/>
    <mergeCell ref="K739:M739"/>
    <mergeCell ref="B740:M740"/>
    <mergeCell ref="B749:I749"/>
    <mergeCell ref="K749:M749"/>
    <mergeCell ref="B750:M750"/>
    <mergeCell ref="F754:G754"/>
    <mergeCell ref="H754:I754"/>
    <mergeCell ref="B751:G751"/>
    <mergeCell ref="H751:I751"/>
    <mergeCell ref="B753:E753"/>
    <mergeCell ref="F753:G753"/>
    <mergeCell ref="H753:I753"/>
    <mergeCell ref="K753:L753"/>
    <mergeCell ref="B571:B572"/>
    <mergeCell ref="B432:B433"/>
    <mergeCell ref="B434:B435"/>
    <mergeCell ref="C451:C452"/>
    <mergeCell ref="C453:C454"/>
    <mergeCell ref="B469:B470"/>
    <mergeCell ref="B472:B473"/>
    <mergeCell ref="B493:B494"/>
    <mergeCell ref="B659:B660"/>
    <mergeCell ref="B341:M341"/>
    <mergeCell ref="B563:I563"/>
    <mergeCell ref="B564:M564"/>
    <mergeCell ref="B497:B498"/>
    <mergeCell ref="B506:I506"/>
    <mergeCell ref="K506:M506"/>
    <mergeCell ref="B507:M507"/>
    <mergeCell ref="G557:M557"/>
    <mergeCell ref="B562:M562"/>
    <mergeCell ref="K563:M563"/>
    <mergeCell ref="B557:E557"/>
    <mergeCell ref="C180:C181"/>
    <mergeCell ref="K187:M187"/>
    <mergeCell ref="B188:M188"/>
    <mergeCell ref="B187:I187"/>
    <mergeCell ref="E193:I193"/>
    <mergeCell ref="B212:B213"/>
    <mergeCell ref="B280:B281"/>
    <mergeCell ref="B340:I340"/>
    <mergeCell ref="K340:M340"/>
    <mergeCell ref="B130:B131"/>
    <mergeCell ref="B132:B133"/>
    <mergeCell ref="B134:B135"/>
    <mergeCell ref="B143:B144"/>
    <mergeCell ref="B145:B146"/>
    <mergeCell ref="B147:B148"/>
    <mergeCell ref="B155:B156"/>
    <mergeCell ref="B157:B158"/>
    <mergeCell ref="B161:B163"/>
    <mergeCell ref="B108:B110"/>
    <mergeCell ref="C108:C109"/>
    <mergeCell ref="B111:B113"/>
    <mergeCell ref="C111:C112"/>
    <mergeCell ref="G120:G121"/>
    <mergeCell ref="B122:B123"/>
    <mergeCell ref="B124:B125"/>
    <mergeCell ref="B126:B127"/>
    <mergeCell ref="B128:B129"/>
    <mergeCell ref="B86:B87"/>
    <mergeCell ref="B90:B92"/>
    <mergeCell ref="G93:G94"/>
    <mergeCell ref="B95:B96"/>
    <mergeCell ref="B97:B98"/>
    <mergeCell ref="B99:B100"/>
    <mergeCell ref="B64:B65"/>
    <mergeCell ref="B66:B67"/>
    <mergeCell ref="B68:B69"/>
    <mergeCell ref="B70:B71"/>
    <mergeCell ref="B72:B73"/>
    <mergeCell ref="B74:B75"/>
    <mergeCell ref="B76:B77"/>
    <mergeCell ref="B12:M12"/>
    <mergeCell ref="B13:B14"/>
    <mergeCell ref="E13:E14"/>
    <mergeCell ref="B17:B18"/>
    <mergeCell ref="B23:B24"/>
    <mergeCell ref="B25:B26"/>
    <mergeCell ref="B27:B28"/>
    <mergeCell ref="B29:B30"/>
    <mergeCell ref="B62:B63"/>
    <mergeCell ref="D62:D63"/>
    <mergeCell ref="A2:M2"/>
    <mergeCell ref="A3:M3"/>
    <mergeCell ref="A4:M4"/>
    <mergeCell ref="A5:M5"/>
    <mergeCell ref="A6:M6"/>
    <mergeCell ref="A7:M7"/>
    <mergeCell ref="A8:M8"/>
    <mergeCell ref="A9:M9"/>
    <mergeCell ref="C10:D10"/>
    <mergeCell ref="E10:F10"/>
    <mergeCell ref="G10:M10"/>
  </mergeCells>
  <conditionalFormatting sqref="O11:O691 O693:O750">
    <cfRule type="cellIs" dxfId="1" priority="1" operator="greaterThan">
      <formula>0</formula>
    </cfRule>
  </conditionalFormatting>
  <conditionalFormatting sqref="O13:O749">
    <cfRule type="cellIs" dxfId="0" priority="2" operator="lessThanOrEqual">
      <formula>0</formula>
    </cfRule>
  </conditionalFormatting>
  <printOptions horizontalCentered="1"/>
  <pageMargins left="0.25" right="0.25" top="0.25" bottom="0.25" header="0" footer="0"/>
  <pageSetup scale="59" fitToHeight="16" orientation="landscape" r:id="rId1"/>
  <rowBreaks count="1" manualBreakCount="1">
    <brk id="74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 21-22</vt:lpstr>
      <vt:lpstr>'BID 21-22'!Print_Area</vt:lpstr>
      <vt:lpstr>'BID 21-22'!Z_0C3C3871_9587_4907_8647_6ABAD5CAAEFD_.wvu.PrintArea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Leta A. Lute</dc:creator>
  <cp:lastModifiedBy>Leta A. Lute</cp:lastModifiedBy>
  <cp:lastPrinted>2021-04-13T18:08:51Z</cp:lastPrinted>
  <dcterms:created xsi:type="dcterms:W3CDTF">2021-04-13T17:20:55Z</dcterms:created>
  <dcterms:modified xsi:type="dcterms:W3CDTF">2021-04-13T18:37:58Z</dcterms:modified>
</cp:coreProperties>
</file>