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mc:AlternateContent xmlns:mc="http://schemas.openxmlformats.org/markup-compatibility/2006">
    <mc:Choice Requires="x15">
      <x15ac:absPath xmlns:x15ac="http://schemas.microsoft.com/office/spreadsheetml/2010/11/ac" url="C:\Users\lutela\Desktop\BID 2022-2023\"/>
    </mc:Choice>
  </mc:AlternateContent>
  <xr:revisionPtr revIDLastSave="0" documentId="13_ncr:1_{D153CA05-1A03-4AD5-ADF4-4F8E955120E0}" xr6:coauthVersionLast="36" xr6:coauthVersionMax="36" xr10:uidLastSave="{00000000-0000-0000-0000-000000000000}"/>
  <bookViews>
    <workbookView xWindow="0" yWindow="0" windowWidth="25200" windowHeight="11775" activeTab="1" xr2:uid="{00000000-000D-0000-FFFF-FFFF00000000}"/>
  </bookViews>
  <sheets>
    <sheet name="BID 21-22" sheetId="1" r:id="rId1"/>
    <sheet name="FRESH MILK " sheetId="2" r:id="rId2"/>
    <sheet name="FRESH FROZEN BREAD" sheetId="3" r:id="rId3"/>
    <sheet name="FRESH PRODUCESMALL FARM PRODUCE" sheetId="4" r:id="rId4"/>
    <sheet name="NOI" sheetId="5" r:id="rId5"/>
    <sheet name="MEAT-MEAT ALTERNATIVES" sheetId="6" r:id="rId6"/>
    <sheet name="GRAIN-BREAD" sheetId="7" r:id="rId7"/>
    <sheet name="FRUIT DRY-FROZEN" sheetId="8" r:id="rId8"/>
    <sheet name="VEGETABLE DRY-FROZEN" sheetId="9" r:id="rId9"/>
    <sheet name="SUNDRY" sheetId="10" r:id="rId10"/>
    <sheet name="DAIRY-DAIRY ALT" sheetId="11" r:id="rId11"/>
    <sheet name="SPICES" sheetId="12" r:id="rId12"/>
    <sheet name="PAPER-CHEMICAL SUPPLIES" sheetId="13" r:id="rId13"/>
    <sheet name="Sheet1" sheetId="14" r:id="rId14"/>
  </sheets>
  <definedNames>
    <definedName name="_xlnm.Print_Area" localSheetId="3">'FRESH PRODUCESMALL FARM PRODUCE'!$A$1:$M$57</definedName>
    <definedName name="Z_0C3C3871_9587_4907_8647_6ABAD5CAAEFD_.wvu.PrintArea" localSheetId="0">'BID 21-22'!$A$1:$J$150</definedName>
  </definedNames>
  <calcPr calcId="191029"/>
</workbook>
</file>

<file path=xl/calcChain.xml><?xml version="1.0" encoding="utf-8"?>
<calcChain xmlns="http://schemas.openxmlformats.org/spreadsheetml/2006/main">
  <c r="L3" i="3" l="1"/>
  <c r="I8" i="2"/>
  <c r="L67" i="13" l="1"/>
  <c r="M67" i="13" s="1"/>
  <c r="M66" i="13"/>
  <c r="L66" i="13"/>
  <c r="J66" i="13"/>
  <c r="M65" i="13"/>
  <c r="L65" i="13"/>
  <c r="J64" i="13"/>
  <c r="M63" i="13"/>
  <c r="L63" i="13"/>
  <c r="J63" i="13"/>
  <c r="M61" i="13"/>
  <c r="L61" i="13"/>
  <c r="J61" i="13"/>
  <c r="M60" i="13"/>
  <c r="L60" i="13"/>
  <c r="J60" i="13"/>
  <c r="M59" i="13"/>
  <c r="L59" i="13"/>
  <c r="M58" i="13"/>
  <c r="L58" i="13"/>
  <c r="J58" i="13"/>
  <c r="M57" i="13"/>
  <c r="L57" i="13"/>
  <c r="J57" i="13"/>
  <c r="J56" i="13"/>
  <c r="L55" i="13"/>
  <c r="M55" i="13" s="1"/>
  <c r="J55" i="13"/>
  <c r="J54" i="13"/>
  <c r="M53" i="13"/>
  <c r="L53" i="13"/>
  <c r="J53" i="13"/>
  <c r="J52" i="13"/>
  <c r="M51" i="13"/>
  <c r="L51" i="13"/>
  <c r="J51" i="13"/>
  <c r="J50" i="13"/>
  <c r="M49" i="13"/>
  <c r="L49" i="13"/>
  <c r="J49" i="13"/>
  <c r="J48" i="13"/>
  <c r="M47" i="13"/>
  <c r="L47" i="13"/>
  <c r="J47" i="13"/>
  <c r="J46" i="13"/>
  <c r="M45" i="13"/>
  <c r="L45" i="13"/>
  <c r="J45" i="13"/>
  <c r="M44" i="13"/>
  <c r="L44" i="13"/>
  <c r="J44" i="13"/>
  <c r="M43" i="13"/>
  <c r="L43" i="13"/>
  <c r="J43" i="13"/>
  <c r="M42" i="13"/>
  <c r="L42" i="13"/>
  <c r="J42" i="13"/>
  <c r="L41" i="13"/>
  <c r="M41" i="13" s="1"/>
  <c r="K68" i="13" s="1"/>
  <c r="F25" i="1" s="1"/>
  <c r="M40" i="13"/>
  <c r="L40" i="13"/>
  <c r="M39" i="13"/>
  <c r="L39" i="13"/>
  <c r="J39" i="13"/>
  <c r="M38" i="13"/>
  <c r="L38" i="13"/>
  <c r="J38" i="13"/>
  <c r="M36" i="13"/>
  <c r="L36" i="13"/>
  <c r="J36" i="13"/>
  <c r="M35" i="13"/>
  <c r="L35" i="13"/>
  <c r="J35" i="13"/>
  <c r="M34" i="13"/>
  <c r="L34" i="13"/>
  <c r="J34" i="13"/>
  <c r="M32" i="13"/>
  <c r="L32" i="13"/>
  <c r="J32" i="13"/>
  <c r="M31" i="13"/>
  <c r="L31" i="13"/>
  <c r="J31" i="13"/>
  <c r="M30" i="13"/>
  <c r="L30" i="13"/>
  <c r="J30" i="13"/>
  <c r="M29" i="13"/>
  <c r="L29" i="13"/>
  <c r="J29" i="13"/>
  <c r="J28" i="13"/>
  <c r="M27" i="13"/>
  <c r="L27" i="13"/>
  <c r="J27" i="13"/>
  <c r="M26" i="13"/>
  <c r="L26" i="13"/>
  <c r="M25" i="13"/>
  <c r="L25" i="13"/>
  <c r="J25" i="13"/>
  <c r="M24" i="13"/>
  <c r="L24" i="13"/>
  <c r="M23" i="13"/>
  <c r="L23" i="13"/>
  <c r="J23" i="13"/>
  <c r="M22" i="13"/>
  <c r="L22" i="13"/>
  <c r="M21" i="13"/>
  <c r="L21" i="13"/>
  <c r="J21" i="13"/>
  <c r="M20" i="13"/>
  <c r="L20" i="13"/>
  <c r="M19" i="13"/>
  <c r="L19" i="13"/>
  <c r="M18" i="13"/>
  <c r="L18" i="13"/>
  <c r="M17" i="13"/>
  <c r="L17" i="13"/>
  <c r="M16" i="13"/>
  <c r="L16" i="13"/>
  <c r="M15" i="13"/>
  <c r="L15" i="13"/>
  <c r="L13" i="13"/>
  <c r="J13" i="13"/>
  <c r="M12" i="13"/>
  <c r="L12" i="13"/>
  <c r="J12" i="13"/>
  <c r="M11" i="13"/>
  <c r="L11" i="13"/>
  <c r="J11" i="13"/>
  <c r="M10" i="13"/>
  <c r="L10" i="13"/>
  <c r="J10" i="13"/>
  <c r="M9" i="13"/>
  <c r="L9" i="13"/>
  <c r="J9" i="13"/>
  <c r="J8" i="13"/>
  <c r="M7" i="13"/>
  <c r="L7" i="13"/>
  <c r="J7" i="13"/>
  <c r="J6" i="13"/>
  <c r="M5" i="13"/>
  <c r="L5" i="13"/>
  <c r="J5" i="13"/>
  <c r="J4" i="13"/>
  <c r="M3" i="13"/>
  <c r="L3" i="13"/>
  <c r="J3" i="13"/>
  <c r="J47" i="12"/>
  <c r="M46" i="12"/>
  <c r="L46" i="12"/>
  <c r="J46" i="12"/>
  <c r="J45" i="12"/>
  <c r="M44" i="12"/>
  <c r="L44" i="12"/>
  <c r="J44" i="12"/>
  <c r="J43" i="12"/>
  <c r="M42" i="12"/>
  <c r="L42" i="12"/>
  <c r="J42" i="12"/>
  <c r="J41" i="12"/>
  <c r="M40" i="12"/>
  <c r="L40" i="12"/>
  <c r="J40" i="12"/>
  <c r="M39" i="12"/>
  <c r="L39" i="12"/>
  <c r="J39" i="12"/>
  <c r="M38" i="12"/>
  <c r="L38" i="12"/>
  <c r="J38" i="12"/>
  <c r="M37" i="12"/>
  <c r="L37" i="12"/>
  <c r="J37" i="12"/>
  <c r="M36" i="12"/>
  <c r="L36" i="12"/>
  <c r="J36" i="12"/>
  <c r="J35" i="12"/>
  <c r="M34" i="12"/>
  <c r="L34" i="12"/>
  <c r="J34" i="12"/>
  <c r="J33" i="12"/>
  <c r="M32" i="12"/>
  <c r="L32" i="12"/>
  <c r="J32" i="12"/>
  <c r="J31" i="12"/>
  <c r="M30" i="12"/>
  <c r="L30" i="12"/>
  <c r="J30" i="12"/>
  <c r="J29" i="12"/>
  <c r="M28" i="12"/>
  <c r="L28" i="12"/>
  <c r="J28" i="12"/>
  <c r="J27" i="12"/>
  <c r="M26" i="12"/>
  <c r="L26" i="12"/>
  <c r="J26" i="12"/>
  <c r="J25" i="12"/>
  <c r="M24" i="12"/>
  <c r="L24" i="12"/>
  <c r="J24" i="12"/>
  <c r="J23" i="12"/>
  <c r="M22" i="12"/>
  <c r="L22" i="12"/>
  <c r="J22" i="12"/>
  <c r="M21" i="12"/>
  <c r="L21" i="12"/>
  <c r="J21" i="12"/>
  <c r="J20" i="12"/>
  <c r="M19" i="12"/>
  <c r="L19" i="12"/>
  <c r="J19" i="12"/>
  <c r="J18" i="12"/>
  <c r="M17" i="12"/>
  <c r="L17" i="12"/>
  <c r="J17" i="12"/>
  <c r="J16" i="12"/>
  <c r="M15" i="12"/>
  <c r="L15" i="12"/>
  <c r="J15" i="12"/>
  <c r="J14" i="12"/>
  <c r="M13" i="12"/>
  <c r="L13" i="12"/>
  <c r="J13" i="12"/>
  <c r="J12" i="12"/>
  <c r="M11" i="12"/>
  <c r="L11" i="12"/>
  <c r="J11" i="12"/>
  <c r="J10" i="12"/>
  <c r="M9" i="12"/>
  <c r="L9" i="12"/>
  <c r="J9" i="12"/>
  <c r="J8" i="12"/>
  <c r="M7" i="12"/>
  <c r="L7" i="12"/>
  <c r="J7" i="12"/>
  <c r="J6" i="12"/>
  <c r="L5" i="12"/>
  <c r="J5" i="12"/>
  <c r="J4" i="12"/>
  <c r="M3" i="12"/>
  <c r="K48" i="12" s="1"/>
  <c r="F24" i="1" s="1"/>
  <c r="L3" i="12"/>
  <c r="J3" i="12"/>
  <c r="J20" i="11"/>
  <c r="L19" i="11"/>
  <c r="J19" i="11"/>
  <c r="M18" i="11"/>
  <c r="L18" i="11"/>
  <c r="J18" i="11"/>
  <c r="J17" i="11"/>
  <c r="L16" i="11"/>
  <c r="J16" i="11"/>
  <c r="M15" i="11"/>
  <c r="L15" i="11"/>
  <c r="J15" i="11"/>
  <c r="M14" i="11"/>
  <c r="L14" i="11"/>
  <c r="J14" i="11"/>
  <c r="M13" i="11"/>
  <c r="L13" i="11"/>
  <c r="J13" i="11"/>
  <c r="M12" i="11"/>
  <c r="L12" i="11"/>
  <c r="J12" i="11"/>
  <c r="M11" i="11"/>
  <c r="L11" i="11"/>
  <c r="J11" i="11"/>
  <c r="M10" i="11"/>
  <c r="L10" i="11"/>
  <c r="J10" i="11"/>
  <c r="J9" i="11"/>
  <c r="M8" i="11"/>
  <c r="L8" i="11"/>
  <c r="J8" i="11"/>
  <c r="M7" i="11"/>
  <c r="L7" i="11"/>
  <c r="J7" i="11"/>
  <c r="M6" i="11"/>
  <c r="L6" i="11"/>
  <c r="J6" i="11"/>
  <c r="M5" i="11"/>
  <c r="L5" i="11"/>
  <c r="J5" i="11"/>
  <c r="M4" i="11"/>
  <c r="K21" i="11" s="1"/>
  <c r="F23" i="1" s="1"/>
  <c r="L4" i="11"/>
  <c r="J4" i="11"/>
  <c r="J3" i="11"/>
  <c r="M58" i="10"/>
  <c r="L58" i="10"/>
  <c r="J58" i="10"/>
  <c r="M57" i="10"/>
  <c r="L57" i="10"/>
  <c r="J57" i="10"/>
  <c r="J56" i="10"/>
  <c r="M55" i="10"/>
  <c r="L55" i="10"/>
  <c r="J55" i="10"/>
  <c r="M54" i="10"/>
  <c r="L54" i="10"/>
  <c r="J54" i="10"/>
  <c r="M53" i="10"/>
  <c r="L53" i="10"/>
  <c r="J53" i="10"/>
  <c r="J52" i="10"/>
  <c r="M51" i="10"/>
  <c r="L51" i="10"/>
  <c r="J51" i="10"/>
  <c r="M50" i="10"/>
  <c r="L50" i="10"/>
  <c r="J50" i="10"/>
  <c r="M49" i="10"/>
  <c r="L49" i="10"/>
  <c r="J49" i="10"/>
  <c r="M48" i="10"/>
  <c r="L48" i="10"/>
  <c r="J48" i="10"/>
  <c r="M47" i="10"/>
  <c r="L47" i="10"/>
  <c r="J47" i="10"/>
  <c r="M46" i="10"/>
  <c r="L46" i="10"/>
  <c r="J46" i="10"/>
  <c r="M45" i="10"/>
  <c r="L45" i="10"/>
  <c r="M44" i="10"/>
  <c r="L44" i="10"/>
  <c r="J44" i="10"/>
  <c r="M43" i="10"/>
  <c r="L43" i="10"/>
  <c r="J43" i="10"/>
  <c r="L42" i="10"/>
  <c r="M42" i="10" s="1"/>
  <c r="J42" i="10"/>
  <c r="M41" i="10"/>
  <c r="L41" i="10"/>
  <c r="J41" i="10"/>
  <c r="M40" i="10"/>
  <c r="L40" i="10"/>
  <c r="J39" i="10"/>
  <c r="M38" i="10"/>
  <c r="L38" i="10"/>
  <c r="J38" i="10"/>
  <c r="M37" i="10"/>
  <c r="L37" i="10"/>
  <c r="J37" i="10"/>
  <c r="J36" i="10"/>
  <c r="M35" i="10"/>
  <c r="L35" i="10"/>
  <c r="J35" i="10"/>
  <c r="J34" i="10"/>
  <c r="M33" i="10"/>
  <c r="L33" i="10"/>
  <c r="J33" i="10"/>
  <c r="M32" i="10"/>
  <c r="L32" i="10"/>
  <c r="J32" i="10"/>
  <c r="J31" i="10"/>
  <c r="M30" i="10"/>
  <c r="L30" i="10"/>
  <c r="J30" i="10"/>
  <c r="J29" i="10"/>
  <c r="M28" i="10"/>
  <c r="L28" i="10"/>
  <c r="J28" i="10"/>
  <c r="J27" i="10"/>
  <c r="M26" i="10"/>
  <c r="L26" i="10"/>
  <c r="J26" i="10"/>
  <c r="M25" i="10"/>
  <c r="L25" i="10"/>
  <c r="J25" i="10"/>
  <c r="M24" i="10"/>
  <c r="L24" i="10"/>
  <c r="J24" i="10"/>
  <c r="M23" i="10"/>
  <c r="L23" i="10"/>
  <c r="J23" i="10"/>
  <c r="M22" i="10"/>
  <c r="L22" i="10"/>
  <c r="J22" i="10"/>
  <c r="M21" i="10"/>
  <c r="L21" i="10"/>
  <c r="J21" i="10"/>
  <c r="M20" i="10"/>
  <c r="L20" i="10"/>
  <c r="J20" i="10"/>
  <c r="M19" i="10"/>
  <c r="L19" i="10"/>
  <c r="J19" i="10"/>
  <c r="M18" i="10"/>
  <c r="L18" i="10"/>
  <c r="J18" i="10"/>
  <c r="M17" i="10"/>
  <c r="L17" i="10"/>
  <c r="J17" i="10"/>
  <c r="M16" i="10"/>
  <c r="L16" i="10"/>
  <c r="J16" i="10"/>
  <c r="M15" i="10"/>
  <c r="L15" i="10"/>
  <c r="J15" i="10"/>
  <c r="J14" i="10"/>
  <c r="M13" i="10"/>
  <c r="L13" i="10"/>
  <c r="J13" i="10"/>
  <c r="J12" i="10"/>
  <c r="M11" i="10"/>
  <c r="L11" i="10"/>
  <c r="J11" i="10"/>
  <c r="J10" i="10"/>
  <c r="M9" i="10"/>
  <c r="J9" i="10"/>
  <c r="M8" i="10"/>
  <c r="L8" i="10"/>
  <c r="J8" i="10"/>
  <c r="M6" i="10"/>
  <c r="L6" i="10"/>
  <c r="J6" i="10"/>
  <c r="M5" i="10"/>
  <c r="L5" i="10"/>
  <c r="J5" i="10"/>
  <c r="M4" i="10"/>
  <c r="L4" i="10"/>
  <c r="M3" i="10"/>
  <c r="K59" i="10" s="1"/>
  <c r="F22" i="1" s="1"/>
  <c r="L3" i="10"/>
  <c r="J62" i="9"/>
  <c r="J61" i="9"/>
  <c r="M60" i="9"/>
  <c r="L60" i="9"/>
  <c r="J60" i="9"/>
  <c r="L59" i="9"/>
  <c r="M58" i="9"/>
  <c r="L58" i="9"/>
  <c r="J58" i="9"/>
  <c r="L57" i="9"/>
  <c r="M56" i="9"/>
  <c r="L56" i="9"/>
  <c r="J56" i="9"/>
  <c r="J55" i="9"/>
  <c r="M54" i="9"/>
  <c r="L54" i="9"/>
  <c r="J54" i="9"/>
  <c r="J53" i="9"/>
  <c r="L52" i="9"/>
  <c r="M51" i="9"/>
  <c r="L51" i="9"/>
  <c r="J51" i="9"/>
  <c r="J50" i="9"/>
  <c r="M49" i="9"/>
  <c r="L49" i="9"/>
  <c r="J49" i="9"/>
  <c r="M47" i="9"/>
  <c r="L47" i="9"/>
  <c r="M45" i="9"/>
  <c r="L45" i="9"/>
  <c r="J44" i="9"/>
  <c r="L43" i="9"/>
  <c r="J43" i="9"/>
  <c r="M42" i="9"/>
  <c r="L42" i="9"/>
  <c r="J42" i="9"/>
  <c r="J41" i="9"/>
  <c r="L40" i="9"/>
  <c r="M39" i="9"/>
  <c r="L39" i="9"/>
  <c r="J39" i="9"/>
  <c r="J38" i="9"/>
  <c r="M37" i="9"/>
  <c r="L37" i="9"/>
  <c r="J37" i="9"/>
  <c r="J36" i="9"/>
  <c r="M35" i="9"/>
  <c r="L35" i="9"/>
  <c r="J35" i="9"/>
  <c r="J34" i="9"/>
  <c r="M33" i="9"/>
  <c r="L33" i="9"/>
  <c r="J33" i="9"/>
  <c r="M32" i="9"/>
  <c r="L32" i="9"/>
  <c r="J32" i="9"/>
  <c r="J31" i="9"/>
  <c r="M30" i="9"/>
  <c r="L30" i="9"/>
  <c r="J30" i="9"/>
  <c r="J29" i="9"/>
  <c r="M28" i="9"/>
  <c r="L28" i="9"/>
  <c r="J28" i="9"/>
  <c r="M27" i="9"/>
  <c r="L27" i="9"/>
  <c r="J27" i="9"/>
  <c r="J26" i="9"/>
  <c r="M25" i="9"/>
  <c r="L25" i="9"/>
  <c r="J25" i="9"/>
  <c r="J24" i="9"/>
  <c r="M23" i="9"/>
  <c r="L23" i="9"/>
  <c r="J23" i="9"/>
  <c r="J22" i="9"/>
  <c r="M21" i="9"/>
  <c r="L21" i="9"/>
  <c r="J21" i="9"/>
  <c r="J20" i="9"/>
  <c r="J19" i="9"/>
  <c r="M18" i="9"/>
  <c r="L18" i="9"/>
  <c r="J18" i="9"/>
  <c r="J17" i="9"/>
  <c r="M16" i="9"/>
  <c r="L16" i="9"/>
  <c r="J16" i="9"/>
  <c r="M15" i="9"/>
  <c r="J15" i="9"/>
  <c r="M14" i="9"/>
  <c r="L14" i="9"/>
  <c r="J14" i="9"/>
  <c r="M13" i="9"/>
  <c r="L13" i="9"/>
  <c r="J13" i="9"/>
  <c r="M12" i="9"/>
  <c r="L12" i="9"/>
  <c r="J12" i="9"/>
  <c r="J11" i="9"/>
  <c r="M10" i="9"/>
  <c r="L10" i="9"/>
  <c r="J10" i="9"/>
  <c r="J9" i="9"/>
  <c r="J8" i="9"/>
  <c r="J7" i="9"/>
  <c r="M6" i="9"/>
  <c r="L6" i="9"/>
  <c r="J6" i="9"/>
  <c r="M5" i="9"/>
  <c r="L5" i="9"/>
  <c r="J5" i="9"/>
  <c r="M4" i="9"/>
  <c r="K63" i="9" s="1"/>
  <c r="F21" i="1" s="1"/>
  <c r="L4" i="9"/>
  <c r="J4" i="9"/>
  <c r="M103" i="8"/>
  <c r="L103" i="8"/>
  <c r="J103" i="8"/>
  <c r="M102" i="8"/>
  <c r="L102" i="8"/>
  <c r="J102" i="8"/>
  <c r="M101" i="8"/>
  <c r="L101" i="8"/>
  <c r="J101" i="8"/>
  <c r="M100" i="8"/>
  <c r="L100" i="8"/>
  <c r="J100" i="8"/>
  <c r="J99" i="8"/>
  <c r="I99" i="8"/>
  <c r="J98" i="8"/>
  <c r="J97" i="8"/>
  <c r="M96" i="8"/>
  <c r="L96" i="8"/>
  <c r="J96" i="8"/>
  <c r="M95" i="8"/>
  <c r="L95" i="8"/>
  <c r="J95" i="8"/>
  <c r="L94" i="8"/>
  <c r="J94" i="8"/>
  <c r="I94" i="8"/>
  <c r="M93" i="8"/>
  <c r="L93" i="8"/>
  <c r="J93" i="8"/>
  <c r="M92" i="8"/>
  <c r="L92" i="8"/>
  <c r="J92" i="8"/>
  <c r="M91" i="8"/>
  <c r="L91" i="8"/>
  <c r="J91" i="8"/>
  <c r="M90" i="8"/>
  <c r="L90" i="8"/>
  <c r="J90" i="8"/>
  <c r="M89" i="8"/>
  <c r="L89" i="8"/>
  <c r="J89" i="8"/>
  <c r="M88" i="8"/>
  <c r="L88" i="8"/>
  <c r="J88" i="8"/>
  <c r="J87" i="8"/>
  <c r="I87" i="8"/>
  <c r="J86" i="8"/>
  <c r="M85" i="8"/>
  <c r="L85" i="8"/>
  <c r="J85" i="8"/>
  <c r="J84" i="8"/>
  <c r="M83" i="8"/>
  <c r="L83" i="8"/>
  <c r="J83" i="8"/>
  <c r="J82" i="8"/>
  <c r="M81" i="8"/>
  <c r="J81" i="8"/>
  <c r="M80" i="8"/>
  <c r="L80" i="8"/>
  <c r="J80" i="8"/>
  <c r="J79" i="8"/>
  <c r="J78" i="8"/>
  <c r="M77" i="8"/>
  <c r="L77" i="8"/>
  <c r="J77" i="8"/>
  <c r="J76" i="8"/>
  <c r="M75" i="8"/>
  <c r="L75" i="8"/>
  <c r="J75" i="8"/>
  <c r="J74" i="8"/>
  <c r="M73" i="8"/>
  <c r="L73" i="8"/>
  <c r="J73" i="8"/>
  <c r="M72" i="8"/>
  <c r="L72" i="8"/>
  <c r="J72" i="8"/>
  <c r="M71" i="8"/>
  <c r="L71" i="8"/>
  <c r="J71" i="8"/>
  <c r="J70" i="8"/>
  <c r="J69" i="8"/>
  <c r="M68" i="8"/>
  <c r="L68" i="8"/>
  <c r="J68" i="8"/>
  <c r="J67" i="8"/>
  <c r="M66" i="8"/>
  <c r="L66" i="8"/>
  <c r="J66" i="8"/>
  <c r="M65" i="8"/>
  <c r="L65" i="8"/>
  <c r="J65" i="8"/>
  <c r="J64" i="8"/>
  <c r="J63" i="8"/>
  <c r="L62" i="8"/>
  <c r="M61" i="8"/>
  <c r="L61" i="8"/>
  <c r="J61" i="8"/>
  <c r="M60" i="8"/>
  <c r="L60" i="8"/>
  <c r="J60" i="8"/>
  <c r="M59" i="8"/>
  <c r="L59" i="8"/>
  <c r="J59" i="8"/>
  <c r="M58" i="8"/>
  <c r="L58" i="8"/>
  <c r="J58" i="8"/>
  <c r="M57" i="8"/>
  <c r="L57" i="8"/>
  <c r="J57" i="8"/>
  <c r="J56" i="8"/>
  <c r="J55" i="8"/>
  <c r="M54" i="8"/>
  <c r="L54" i="8"/>
  <c r="J54" i="8"/>
  <c r="M53" i="8"/>
  <c r="L53" i="8"/>
  <c r="J53" i="8"/>
  <c r="M52" i="8"/>
  <c r="L52" i="8"/>
  <c r="J52" i="8"/>
  <c r="M51" i="8"/>
  <c r="L51" i="8"/>
  <c r="J51" i="8"/>
  <c r="L50" i="8"/>
  <c r="L49" i="8"/>
  <c r="L48" i="8"/>
  <c r="L47" i="8"/>
  <c r="L46" i="8"/>
  <c r="M45" i="8"/>
  <c r="L45" i="8"/>
  <c r="L44" i="8"/>
  <c r="L43" i="8"/>
  <c r="L42" i="8"/>
  <c r="L41" i="8"/>
  <c r="L40" i="8"/>
  <c r="L39" i="8"/>
  <c r="M38" i="8"/>
  <c r="L38" i="8"/>
  <c r="L37" i="8"/>
  <c r="L36" i="8"/>
  <c r="L35" i="8"/>
  <c r="L34" i="8"/>
  <c r="L33" i="8"/>
  <c r="L32" i="8"/>
  <c r="L31" i="8"/>
  <c r="L30" i="8"/>
  <c r="L29" i="8"/>
  <c r="M28" i="8"/>
  <c r="L28" i="8"/>
  <c r="M27" i="8"/>
  <c r="L27" i="8"/>
  <c r="J27" i="8"/>
  <c r="M26" i="8"/>
  <c r="L26" i="8"/>
  <c r="J26" i="8"/>
  <c r="M25" i="8"/>
  <c r="L25" i="8"/>
  <c r="J25" i="8"/>
  <c r="M24" i="8"/>
  <c r="L24" i="8"/>
  <c r="J24" i="8"/>
  <c r="M23" i="8"/>
  <c r="L23" i="8"/>
  <c r="J23" i="8"/>
  <c r="L22" i="8"/>
  <c r="L21" i="8"/>
  <c r="L20" i="8"/>
  <c r="L19" i="8"/>
  <c r="L18" i="8"/>
  <c r="M17" i="8"/>
  <c r="L17" i="8"/>
  <c r="M15" i="8"/>
  <c r="L15" i="8"/>
  <c r="J15" i="8"/>
  <c r="M14" i="8"/>
  <c r="L14" i="8"/>
  <c r="J14" i="8"/>
  <c r="L13" i="8"/>
  <c r="L12" i="8"/>
  <c r="L11" i="8"/>
  <c r="J10" i="8"/>
  <c r="M9" i="8"/>
  <c r="L9" i="8"/>
  <c r="J9" i="8"/>
  <c r="J8" i="8"/>
  <c r="M7" i="8"/>
  <c r="L7" i="8"/>
  <c r="J7" i="8"/>
  <c r="J6" i="8"/>
  <c r="M5" i="8"/>
  <c r="L5" i="8"/>
  <c r="J5" i="8"/>
  <c r="M3" i="8"/>
  <c r="K104" i="8" s="1"/>
  <c r="F20" i="1" s="1"/>
  <c r="L3" i="8"/>
  <c r="J3" i="8"/>
  <c r="M158" i="7"/>
  <c r="J158" i="7"/>
  <c r="M157" i="7"/>
  <c r="L157" i="7"/>
  <c r="J157" i="7"/>
  <c r="M156" i="7"/>
  <c r="L156" i="7"/>
  <c r="J156" i="7"/>
  <c r="M155" i="7"/>
  <c r="L155" i="7"/>
  <c r="J155" i="7"/>
  <c r="M154" i="7"/>
  <c r="L154" i="7"/>
  <c r="J154" i="7"/>
  <c r="J153" i="7"/>
  <c r="M152" i="7"/>
  <c r="L152" i="7"/>
  <c r="J152" i="7"/>
  <c r="J151" i="7"/>
  <c r="M150" i="7"/>
  <c r="L150" i="7"/>
  <c r="J150" i="7"/>
  <c r="M148" i="7"/>
  <c r="L148" i="7"/>
  <c r="J147" i="7"/>
  <c r="M146" i="7"/>
  <c r="L146" i="7"/>
  <c r="J146" i="7"/>
  <c r="J145" i="7"/>
  <c r="M144" i="7"/>
  <c r="L144" i="7"/>
  <c r="J144" i="7"/>
  <c r="J143" i="7"/>
  <c r="M142" i="7"/>
  <c r="L142" i="7"/>
  <c r="J142" i="7"/>
  <c r="J141" i="7"/>
  <c r="M140" i="7"/>
  <c r="L140" i="7"/>
  <c r="J140" i="7"/>
  <c r="J139" i="7"/>
  <c r="M138" i="7"/>
  <c r="L138" i="7"/>
  <c r="J138" i="7"/>
  <c r="M136" i="7"/>
  <c r="L136" i="7"/>
  <c r="M135" i="7"/>
  <c r="L135" i="7"/>
  <c r="M134" i="7"/>
  <c r="L134" i="7"/>
  <c r="M133" i="7"/>
  <c r="L133" i="7"/>
  <c r="M132" i="7"/>
  <c r="L132" i="7"/>
  <c r="J132" i="7"/>
  <c r="M131" i="7"/>
  <c r="L131" i="7"/>
  <c r="J131" i="7"/>
  <c r="M130" i="7"/>
  <c r="L130" i="7"/>
  <c r="J130" i="7"/>
  <c r="M129" i="7"/>
  <c r="L129" i="7"/>
  <c r="J129" i="7"/>
  <c r="M128" i="7"/>
  <c r="L128" i="7"/>
  <c r="J128" i="7"/>
  <c r="M127" i="7"/>
  <c r="L127" i="7"/>
  <c r="J127" i="7"/>
  <c r="M126" i="7"/>
  <c r="L126" i="7"/>
  <c r="J126" i="7"/>
  <c r="J125" i="7"/>
  <c r="M124" i="7"/>
  <c r="L124" i="7"/>
  <c r="J124" i="7"/>
  <c r="J123" i="7"/>
  <c r="M122" i="7"/>
  <c r="L122" i="7"/>
  <c r="J122" i="7"/>
  <c r="M121" i="7"/>
  <c r="L121" i="7"/>
  <c r="J121" i="7"/>
  <c r="J120" i="7"/>
  <c r="M119" i="7"/>
  <c r="L119" i="7"/>
  <c r="J119" i="7"/>
  <c r="J118" i="7"/>
  <c r="M117" i="7"/>
  <c r="L117" i="7"/>
  <c r="J117" i="7"/>
  <c r="J116" i="7"/>
  <c r="M115" i="7"/>
  <c r="L115" i="7"/>
  <c r="J115" i="7"/>
  <c r="J114" i="7"/>
  <c r="M113" i="7"/>
  <c r="L113" i="7"/>
  <c r="J113" i="7"/>
  <c r="J112" i="7"/>
  <c r="M111" i="7"/>
  <c r="L111" i="7"/>
  <c r="J111" i="7"/>
  <c r="J110" i="7"/>
  <c r="J109" i="7"/>
  <c r="M108" i="7"/>
  <c r="L108" i="7"/>
  <c r="J108" i="7"/>
  <c r="I108" i="7"/>
  <c r="M107" i="7"/>
  <c r="L107" i="7"/>
  <c r="J107" i="7"/>
  <c r="M106" i="7"/>
  <c r="L106" i="7"/>
  <c r="J106" i="7"/>
  <c r="M105" i="7"/>
  <c r="L105" i="7"/>
  <c r="J105" i="7"/>
  <c r="J104" i="7"/>
  <c r="M103" i="7"/>
  <c r="L103" i="7"/>
  <c r="J103" i="7"/>
  <c r="M102" i="7"/>
  <c r="L102" i="7"/>
  <c r="J102" i="7"/>
  <c r="M101" i="7"/>
  <c r="L101" i="7"/>
  <c r="J101" i="7"/>
  <c r="J100" i="7"/>
  <c r="M99" i="7"/>
  <c r="L99" i="7"/>
  <c r="J99" i="7"/>
  <c r="J98" i="7"/>
  <c r="M97" i="7"/>
  <c r="L97" i="7"/>
  <c r="J97" i="7"/>
  <c r="J96" i="7"/>
  <c r="M95" i="7"/>
  <c r="L95" i="7"/>
  <c r="J95" i="7"/>
  <c r="J94" i="7"/>
  <c r="M93" i="7"/>
  <c r="L93" i="7"/>
  <c r="J93" i="7"/>
  <c r="J92" i="7"/>
  <c r="M91" i="7"/>
  <c r="L91" i="7"/>
  <c r="J91" i="7"/>
  <c r="J90" i="7"/>
  <c r="M89" i="7"/>
  <c r="L89" i="7"/>
  <c r="J89" i="7"/>
  <c r="M88" i="7"/>
  <c r="L88" i="7"/>
  <c r="J88" i="7"/>
  <c r="M85" i="7"/>
  <c r="L85" i="7"/>
  <c r="J84" i="7"/>
  <c r="M83" i="7"/>
  <c r="L83" i="7"/>
  <c r="J83" i="7"/>
  <c r="J82" i="7"/>
  <c r="M81" i="7"/>
  <c r="L81" i="7"/>
  <c r="J81" i="7"/>
  <c r="J80" i="7"/>
  <c r="M79" i="7"/>
  <c r="L79" i="7"/>
  <c r="J79" i="7"/>
  <c r="M78" i="7"/>
  <c r="L78" i="7"/>
  <c r="J78" i="7"/>
  <c r="M77" i="7"/>
  <c r="L77" i="7"/>
  <c r="J77" i="7"/>
  <c r="J76" i="7"/>
  <c r="J75" i="7"/>
  <c r="I75" i="7"/>
  <c r="M74" i="7"/>
  <c r="L74" i="7"/>
  <c r="J74" i="7"/>
  <c r="J73" i="7"/>
  <c r="M72" i="7"/>
  <c r="L72" i="7"/>
  <c r="J72" i="7"/>
  <c r="M70" i="7"/>
  <c r="L70" i="7"/>
  <c r="J69" i="7"/>
  <c r="J68" i="7"/>
  <c r="J67" i="7"/>
  <c r="J66" i="7"/>
  <c r="J65" i="7"/>
  <c r="J64" i="7"/>
  <c r="J63" i="7"/>
  <c r="J62" i="7"/>
  <c r="J61" i="7"/>
  <c r="M59" i="7"/>
  <c r="L59" i="7"/>
  <c r="J59" i="7"/>
  <c r="I59" i="7"/>
  <c r="J58" i="7"/>
  <c r="J57" i="7"/>
  <c r="J56" i="7"/>
  <c r="L55" i="7"/>
  <c r="J55" i="7"/>
  <c r="I55" i="7"/>
  <c r="M55" i="7" s="1"/>
  <c r="J54" i="7"/>
  <c r="J53" i="7"/>
  <c r="M52" i="7"/>
  <c r="L52" i="7"/>
  <c r="J52" i="7"/>
  <c r="I52" i="7"/>
  <c r="J51" i="7"/>
  <c r="J50" i="7"/>
  <c r="J49" i="7"/>
  <c r="J48" i="7"/>
  <c r="M47" i="7"/>
  <c r="L47" i="7"/>
  <c r="J47" i="7"/>
  <c r="I47" i="7"/>
  <c r="M46" i="7"/>
  <c r="L46" i="7"/>
  <c r="J46" i="7"/>
  <c r="M45" i="7"/>
  <c r="L45" i="7"/>
  <c r="J45" i="7"/>
  <c r="M44" i="7"/>
  <c r="L44" i="7"/>
  <c r="J44" i="7"/>
  <c r="M43" i="7"/>
  <c r="L43" i="7"/>
  <c r="J43" i="7"/>
  <c r="M42" i="7"/>
  <c r="L42" i="7"/>
  <c r="M41" i="7"/>
  <c r="L41" i="7"/>
  <c r="M39" i="7"/>
  <c r="L39" i="7"/>
  <c r="M38" i="7"/>
  <c r="L38" i="7"/>
  <c r="J38" i="7"/>
  <c r="M37" i="7"/>
  <c r="L37" i="7"/>
  <c r="J37" i="7"/>
  <c r="M36" i="7"/>
  <c r="L36" i="7"/>
  <c r="J36" i="7"/>
  <c r="M35" i="7"/>
  <c r="L35" i="7"/>
  <c r="J35" i="7"/>
  <c r="J34" i="7"/>
  <c r="M33" i="7"/>
  <c r="L33" i="7"/>
  <c r="J33" i="7"/>
  <c r="J32" i="7"/>
  <c r="M31" i="7"/>
  <c r="L31" i="7"/>
  <c r="J31" i="7"/>
  <c r="M29" i="7"/>
  <c r="L29" i="7"/>
  <c r="M27" i="7"/>
  <c r="L27" i="7"/>
  <c r="M26" i="7"/>
  <c r="L26" i="7"/>
  <c r="J26" i="7"/>
  <c r="M25" i="7"/>
  <c r="L25" i="7"/>
  <c r="J25" i="7"/>
  <c r="M24" i="7"/>
  <c r="L24" i="7"/>
  <c r="J24" i="7"/>
  <c r="M23" i="7"/>
  <c r="L23" i="7"/>
  <c r="J23" i="7"/>
  <c r="J22" i="7"/>
  <c r="J21" i="7"/>
  <c r="M20" i="7"/>
  <c r="L20" i="7"/>
  <c r="J20" i="7"/>
  <c r="J19" i="7"/>
  <c r="J18" i="7"/>
  <c r="M17" i="7"/>
  <c r="L17" i="7"/>
  <c r="J17" i="7"/>
  <c r="J16" i="7"/>
  <c r="M15" i="7"/>
  <c r="L15" i="7"/>
  <c r="J15" i="7"/>
  <c r="M14" i="7"/>
  <c r="L14" i="7"/>
  <c r="J14" i="7"/>
  <c r="J13" i="7"/>
  <c r="M12" i="7"/>
  <c r="L12" i="7"/>
  <c r="J12" i="7"/>
  <c r="J11" i="7"/>
  <c r="M10" i="7"/>
  <c r="L10" i="7"/>
  <c r="J10" i="7"/>
  <c r="L9" i="7"/>
  <c r="J9" i="7"/>
  <c r="M8" i="7"/>
  <c r="L8" i="7"/>
  <c r="J8" i="7"/>
  <c r="J7" i="7"/>
  <c r="M6" i="7"/>
  <c r="L6" i="7"/>
  <c r="J6" i="7"/>
  <c r="M4" i="7"/>
  <c r="L4" i="7"/>
  <c r="J4" i="7"/>
  <c r="M3" i="7"/>
  <c r="K159" i="7" s="1"/>
  <c r="F19" i="1" s="1"/>
  <c r="L3" i="7"/>
  <c r="J3" i="7"/>
  <c r="J64" i="6"/>
  <c r="J63" i="6"/>
  <c r="J62" i="6"/>
  <c r="M61" i="6"/>
  <c r="L61" i="6"/>
  <c r="J61" i="6"/>
  <c r="J60" i="6"/>
  <c r="M59" i="6"/>
  <c r="J59" i="6"/>
  <c r="J58" i="6"/>
  <c r="M57" i="6"/>
  <c r="L57" i="6"/>
  <c r="J57" i="6"/>
  <c r="J56" i="6"/>
  <c r="M55" i="6"/>
  <c r="L55" i="6"/>
  <c r="J55" i="6"/>
  <c r="J54" i="6"/>
  <c r="J53" i="6"/>
  <c r="M52" i="6"/>
  <c r="L52" i="6"/>
  <c r="J52" i="6"/>
  <c r="J51" i="6"/>
  <c r="M50" i="6"/>
  <c r="L50" i="6"/>
  <c r="J50" i="6"/>
  <c r="J49" i="6"/>
  <c r="M48" i="6"/>
  <c r="L48" i="6"/>
  <c r="J48" i="6"/>
  <c r="M47" i="6"/>
  <c r="L47" i="6"/>
  <c r="J47" i="6"/>
  <c r="M46" i="6"/>
  <c r="L46" i="6"/>
  <c r="J46" i="6"/>
  <c r="M45" i="6"/>
  <c r="L45" i="6"/>
  <c r="J45" i="6"/>
  <c r="M44" i="6"/>
  <c r="L44" i="6"/>
  <c r="J44" i="6"/>
  <c r="M43" i="6"/>
  <c r="L43" i="6"/>
  <c r="J43" i="6"/>
  <c r="J42" i="6"/>
  <c r="J41" i="6"/>
  <c r="M40" i="6"/>
  <c r="L40" i="6"/>
  <c r="J40" i="6"/>
  <c r="J39" i="6"/>
  <c r="M38" i="6"/>
  <c r="L38" i="6"/>
  <c r="J38" i="6"/>
  <c r="J37" i="6"/>
  <c r="M36" i="6"/>
  <c r="L36" i="6"/>
  <c r="J36" i="6"/>
  <c r="J35" i="6"/>
  <c r="M34" i="6"/>
  <c r="L34" i="6"/>
  <c r="J34" i="6"/>
  <c r="M33" i="6"/>
  <c r="L33" i="6"/>
  <c r="J33" i="6"/>
  <c r="J32" i="6"/>
  <c r="M31" i="6"/>
  <c r="L31" i="6"/>
  <c r="J31" i="6"/>
  <c r="M29" i="6"/>
  <c r="L29" i="6"/>
  <c r="J28" i="6"/>
  <c r="M27" i="6"/>
  <c r="L27" i="6"/>
  <c r="J27" i="6"/>
  <c r="J26" i="6"/>
  <c r="M25" i="6"/>
  <c r="L25" i="6"/>
  <c r="J25" i="6"/>
  <c r="M23" i="6"/>
  <c r="L23" i="6"/>
  <c r="J22" i="6"/>
  <c r="M21" i="6"/>
  <c r="L21" i="6"/>
  <c r="J21" i="6"/>
  <c r="M20" i="6"/>
  <c r="L20" i="6"/>
  <c r="J20" i="6"/>
  <c r="L19" i="6"/>
  <c r="J18" i="6"/>
  <c r="M17" i="6"/>
  <c r="L17" i="6"/>
  <c r="J17" i="6"/>
  <c r="J16" i="6"/>
  <c r="M15" i="6"/>
  <c r="L15" i="6"/>
  <c r="J15" i="6"/>
  <c r="J14" i="6"/>
  <c r="M13" i="6"/>
  <c r="L13" i="6"/>
  <c r="J13" i="6"/>
  <c r="M11" i="6"/>
  <c r="L11" i="6"/>
  <c r="M9" i="6"/>
  <c r="L9" i="6"/>
  <c r="J8" i="6"/>
  <c r="M7" i="6"/>
  <c r="L7" i="6"/>
  <c r="J7" i="6"/>
  <c r="J6" i="6"/>
  <c r="M5" i="6"/>
  <c r="L5" i="6"/>
  <c r="J5" i="6"/>
  <c r="J4" i="6"/>
  <c r="M3" i="6"/>
  <c r="K68" i="6" s="1"/>
  <c r="F18" i="1" s="1"/>
  <c r="L3" i="6"/>
  <c r="J3" i="6"/>
  <c r="J163" i="5"/>
  <c r="M162" i="5"/>
  <c r="L162" i="5"/>
  <c r="J162" i="5"/>
  <c r="L161" i="5"/>
  <c r="M160" i="5"/>
  <c r="L160" i="5"/>
  <c r="J160" i="5"/>
  <c r="L159" i="5"/>
  <c r="M158" i="5"/>
  <c r="L158" i="5"/>
  <c r="J158" i="5"/>
  <c r="J157" i="5"/>
  <c r="M156" i="5"/>
  <c r="L156" i="5"/>
  <c r="J156" i="5"/>
  <c r="M154" i="5"/>
  <c r="L154" i="5"/>
  <c r="J154" i="5"/>
  <c r="J153" i="5"/>
  <c r="J152" i="5"/>
  <c r="M151" i="5"/>
  <c r="L151" i="5"/>
  <c r="J151" i="5"/>
  <c r="L150" i="5"/>
  <c r="M149" i="5"/>
  <c r="L149" i="5"/>
  <c r="J149" i="5"/>
  <c r="L148" i="5"/>
  <c r="M147" i="5"/>
  <c r="L147" i="5"/>
  <c r="J147" i="5"/>
  <c r="L146" i="5"/>
  <c r="M145" i="5"/>
  <c r="L145" i="5"/>
  <c r="J145" i="5"/>
  <c r="J144" i="5"/>
  <c r="M143" i="5"/>
  <c r="L143" i="5"/>
  <c r="J143" i="5"/>
  <c r="J142" i="5"/>
  <c r="J141" i="5"/>
  <c r="M140" i="5"/>
  <c r="L140" i="5"/>
  <c r="J140" i="5"/>
  <c r="L138" i="5"/>
  <c r="L137" i="5"/>
  <c r="L136" i="5"/>
  <c r="L135" i="5"/>
  <c r="L134" i="5"/>
  <c r="L133" i="5"/>
  <c r="L132" i="5"/>
  <c r="L131" i="5"/>
  <c r="L130" i="5"/>
  <c r="J130" i="5"/>
  <c r="L129" i="5"/>
  <c r="M128" i="5"/>
  <c r="L128" i="5"/>
  <c r="J128" i="5"/>
  <c r="M127" i="5"/>
  <c r="L127" i="5"/>
  <c r="J127" i="5"/>
  <c r="L126" i="5"/>
  <c r="M125" i="5"/>
  <c r="L125" i="5"/>
  <c r="J125" i="5"/>
  <c r="J124" i="5"/>
  <c r="L118" i="5"/>
  <c r="M117" i="5"/>
  <c r="L117" i="5"/>
  <c r="J117" i="5"/>
  <c r="M115" i="5"/>
  <c r="L115" i="5"/>
  <c r="M113" i="5"/>
  <c r="L113" i="5"/>
  <c r="J112" i="5"/>
  <c r="M111" i="5"/>
  <c r="L111" i="5"/>
  <c r="J111" i="5"/>
  <c r="J110" i="5"/>
  <c r="M109" i="5"/>
  <c r="L109" i="5"/>
  <c r="J109" i="5"/>
  <c r="J108" i="5"/>
  <c r="M107" i="5"/>
  <c r="L107" i="5"/>
  <c r="J107" i="5"/>
  <c r="J106" i="5"/>
  <c r="M105" i="5"/>
  <c r="L105" i="5"/>
  <c r="J105" i="5"/>
  <c r="J104" i="5"/>
  <c r="M103" i="5"/>
  <c r="L103" i="5"/>
  <c r="J103" i="5"/>
  <c r="M101" i="5"/>
  <c r="L101" i="5"/>
  <c r="M99" i="5"/>
  <c r="L99" i="5"/>
  <c r="J99" i="5"/>
  <c r="L98" i="5"/>
  <c r="M97" i="5"/>
  <c r="L97" i="5"/>
  <c r="J97" i="5"/>
  <c r="L96" i="5"/>
  <c r="M95" i="5"/>
  <c r="L95" i="5"/>
  <c r="J95" i="5"/>
  <c r="L94" i="5"/>
  <c r="M93" i="5"/>
  <c r="L93" i="5"/>
  <c r="J93" i="5"/>
  <c r="M91" i="5"/>
  <c r="L91" i="5"/>
  <c r="J90" i="5"/>
  <c r="M89" i="5"/>
  <c r="L89" i="5"/>
  <c r="J89" i="5"/>
  <c r="J88" i="5"/>
  <c r="M87" i="5"/>
  <c r="L87" i="5"/>
  <c r="J87" i="5"/>
  <c r="L86" i="5"/>
  <c r="M85" i="5"/>
  <c r="L85" i="5"/>
  <c r="J85" i="5"/>
  <c r="J84" i="5"/>
  <c r="M83" i="5"/>
  <c r="L83" i="5"/>
  <c r="J83" i="5"/>
  <c r="M81" i="5"/>
  <c r="L81" i="5"/>
  <c r="J80" i="5"/>
  <c r="J79" i="5"/>
  <c r="M78" i="5"/>
  <c r="L78" i="5"/>
  <c r="J78" i="5"/>
  <c r="J77" i="5"/>
  <c r="L76" i="5"/>
  <c r="M75" i="5"/>
  <c r="L75" i="5"/>
  <c r="J75" i="5"/>
  <c r="M74" i="5"/>
  <c r="L74" i="5"/>
  <c r="J74" i="5"/>
  <c r="M73" i="5"/>
  <c r="L73" i="5"/>
  <c r="M72" i="5"/>
  <c r="L72" i="5"/>
  <c r="L71" i="5"/>
  <c r="M70" i="5"/>
  <c r="L70" i="5"/>
  <c r="J70" i="5"/>
  <c r="L69" i="5"/>
  <c r="M68" i="5"/>
  <c r="L68" i="5"/>
  <c r="J68" i="5"/>
  <c r="L67" i="5"/>
  <c r="J67" i="5"/>
  <c r="M66" i="5"/>
  <c r="L66" i="5"/>
  <c r="J66" i="5"/>
  <c r="L65" i="5"/>
  <c r="J65" i="5"/>
  <c r="M64" i="5"/>
  <c r="L64" i="5"/>
  <c r="J64" i="5"/>
  <c r="L63" i="5"/>
  <c r="J63" i="5"/>
  <c r="M62" i="5"/>
  <c r="L62" i="5"/>
  <c r="J62" i="5"/>
  <c r="J61" i="5"/>
  <c r="L60" i="5"/>
  <c r="M59" i="5"/>
  <c r="L59" i="5"/>
  <c r="J59" i="5"/>
  <c r="J58" i="5"/>
  <c r="L57" i="5"/>
  <c r="M56" i="5"/>
  <c r="L56" i="5"/>
  <c r="J56" i="5"/>
  <c r="L55" i="5"/>
  <c r="M54" i="5"/>
  <c r="L54" i="5"/>
  <c r="J54" i="5"/>
  <c r="L53" i="5"/>
  <c r="M52" i="5"/>
  <c r="L52" i="5"/>
  <c r="J52" i="5"/>
  <c r="L51" i="5"/>
  <c r="M50" i="5"/>
  <c r="L50" i="5"/>
  <c r="J50" i="5"/>
  <c r="L49" i="5"/>
  <c r="M48" i="5"/>
  <c r="L48" i="5"/>
  <c r="J48" i="5"/>
  <c r="L47" i="5"/>
  <c r="M46" i="5"/>
  <c r="L46" i="5"/>
  <c r="J46" i="5"/>
  <c r="L45" i="5"/>
  <c r="M44" i="5"/>
  <c r="L44" i="5"/>
  <c r="J44" i="5"/>
  <c r="L43" i="5"/>
  <c r="M42" i="5"/>
  <c r="L42" i="5"/>
  <c r="J42" i="5"/>
  <c r="L41" i="5"/>
  <c r="M40" i="5"/>
  <c r="L40" i="5"/>
  <c r="J40" i="5"/>
  <c r="L39" i="5"/>
  <c r="M38" i="5"/>
  <c r="L38" i="5"/>
  <c r="J38" i="5"/>
  <c r="L37" i="5"/>
  <c r="M36" i="5"/>
  <c r="L36" i="5"/>
  <c r="J36" i="5"/>
  <c r="L35" i="5"/>
  <c r="M34" i="5"/>
  <c r="L34" i="5"/>
  <c r="J34" i="5"/>
  <c r="L33" i="5"/>
  <c r="M32" i="5"/>
  <c r="L32" i="5"/>
  <c r="J32" i="5"/>
  <c r="M31" i="5"/>
  <c r="L31" i="5"/>
  <c r="M30" i="5"/>
  <c r="L30" i="5"/>
  <c r="J30" i="5"/>
  <c r="M29" i="5"/>
  <c r="L29" i="5"/>
  <c r="M28" i="5"/>
  <c r="L28" i="5"/>
  <c r="M27" i="5"/>
  <c r="L27" i="5"/>
  <c r="J27" i="5"/>
  <c r="M26" i="5"/>
  <c r="L26" i="5"/>
  <c r="M25" i="5"/>
  <c r="L25" i="5"/>
  <c r="J25" i="5"/>
  <c r="M24" i="5"/>
  <c r="L24" i="5"/>
  <c r="M23" i="5"/>
  <c r="L23" i="5"/>
  <c r="L22" i="5"/>
  <c r="M21" i="5"/>
  <c r="L21" i="5"/>
  <c r="J21" i="5"/>
  <c r="L20" i="5"/>
  <c r="M19" i="5"/>
  <c r="L19" i="5"/>
  <c r="J19" i="5"/>
  <c r="L18" i="5"/>
  <c r="J18" i="5"/>
  <c r="M17" i="5"/>
  <c r="L17" i="5"/>
  <c r="J17" i="5"/>
  <c r="L15" i="5"/>
  <c r="L14" i="5"/>
  <c r="J14" i="5"/>
  <c r="M13" i="5"/>
  <c r="L13" i="5"/>
  <c r="J13" i="5"/>
  <c r="M11" i="5"/>
  <c r="L11" i="5"/>
  <c r="L10" i="5"/>
  <c r="J10" i="5"/>
  <c r="M9" i="5"/>
  <c r="L9" i="5"/>
  <c r="J9" i="5"/>
  <c r="M7" i="5"/>
  <c r="L7" i="5"/>
  <c r="M5" i="5"/>
  <c r="K164" i="5" s="1"/>
  <c r="F17" i="1" s="1"/>
  <c r="L5" i="5"/>
  <c r="L4" i="5"/>
  <c r="M3" i="5"/>
  <c r="L3" i="5"/>
  <c r="J3" i="5"/>
  <c r="M54" i="4"/>
  <c r="L54" i="4"/>
  <c r="J54" i="4"/>
  <c r="M53" i="4"/>
  <c r="L53" i="4"/>
  <c r="J53" i="4"/>
  <c r="M52" i="4"/>
  <c r="L52" i="4"/>
  <c r="J52" i="4"/>
  <c r="M51" i="4"/>
  <c r="L51" i="4"/>
  <c r="J51" i="4"/>
  <c r="M49" i="4"/>
  <c r="L49" i="4"/>
  <c r="J49" i="4"/>
  <c r="M48" i="4"/>
  <c r="L48" i="4"/>
  <c r="J48" i="4"/>
  <c r="M47" i="4"/>
  <c r="L47" i="4"/>
  <c r="J47" i="4"/>
  <c r="J46" i="4"/>
  <c r="M45" i="4"/>
  <c r="L45" i="4"/>
  <c r="J45" i="4"/>
  <c r="J44" i="4"/>
  <c r="M43" i="4"/>
  <c r="L43" i="4"/>
  <c r="J43" i="4"/>
  <c r="M42" i="4"/>
  <c r="L42" i="4"/>
  <c r="J42" i="4"/>
  <c r="M41" i="4"/>
  <c r="L41" i="4"/>
  <c r="J41" i="4"/>
  <c r="M40" i="4"/>
  <c r="L40" i="4"/>
  <c r="J40" i="4"/>
  <c r="J39" i="4"/>
  <c r="M38" i="4"/>
  <c r="L38" i="4"/>
  <c r="J38" i="4"/>
  <c r="J37" i="4"/>
  <c r="M36" i="4"/>
  <c r="L36" i="4"/>
  <c r="J36" i="4"/>
  <c r="J35" i="4"/>
  <c r="M34" i="4"/>
  <c r="L34" i="4"/>
  <c r="J34" i="4"/>
  <c r="M33" i="4"/>
  <c r="L33" i="4"/>
  <c r="J33" i="4"/>
  <c r="J32" i="4"/>
  <c r="M31" i="4"/>
  <c r="L31" i="4"/>
  <c r="J31" i="4"/>
  <c r="J30" i="4"/>
  <c r="M29" i="4"/>
  <c r="L29" i="4"/>
  <c r="J29" i="4"/>
  <c r="J28" i="4"/>
  <c r="M27" i="4"/>
  <c r="L27" i="4"/>
  <c r="J27" i="4"/>
  <c r="J26" i="4"/>
  <c r="M25" i="4"/>
  <c r="L25" i="4"/>
  <c r="J25" i="4"/>
  <c r="M24" i="4"/>
  <c r="L24" i="4"/>
  <c r="J24" i="4"/>
  <c r="M23" i="4"/>
  <c r="J23" i="4"/>
  <c r="M22" i="4"/>
  <c r="L22" i="4"/>
  <c r="J22" i="4"/>
  <c r="M21" i="4"/>
  <c r="L21" i="4"/>
  <c r="J21" i="4"/>
  <c r="M20" i="4"/>
  <c r="L20" i="4"/>
  <c r="J20" i="4"/>
  <c r="J17" i="4"/>
  <c r="M16" i="4"/>
  <c r="L16" i="4"/>
  <c r="J16" i="4"/>
  <c r="J15" i="4"/>
  <c r="L14" i="4"/>
  <c r="J14" i="4"/>
  <c r="J13" i="4"/>
  <c r="L12" i="4"/>
  <c r="M12" i="4" s="1"/>
  <c r="J12" i="4"/>
  <c r="J11" i="4"/>
  <c r="L10" i="4"/>
  <c r="M10" i="4" s="1"/>
  <c r="J10" i="4"/>
  <c r="L9" i="4"/>
  <c r="M9" i="4" s="1"/>
  <c r="J9" i="4"/>
  <c r="M8" i="4"/>
  <c r="L8" i="4"/>
  <c r="J8" i="4"/>
  <c r="M7" i="4"/>
  <c r="L7" i="4"/>
  <c r="J7" i="4"/>
  <c r="M6" i="4"/>
  <c r="L6" i="4"/>
  <c r="J6" i="4"/>
  <c r="M5" i="4"/>
  <c r="L5" i="4"/>
  <c r="J5" i="4"/>
  <c r="M4" i="4"/>
  <c r="L4" i="4"/>
  <c r="J4" i="4"/>
  <c r="M3" i="4"/>
  <c r="L3" i="4"/>
  <c r="J3" i="4"/>
  <c r="L12" i="3"/>
  <c r="M12" i="3" s="1"/>
  <c r="J12" i="3"/>
  <c r="L9" i="3"/>
  <c r="M9" i="3" s="1"/>
  <c r="J9" i="3"/>
  <c r="L6" i="3"/>
  <c r="M6" i="3" s="1"/>
  <c r="J6" i="3"/>
  <c r="M3" i="3"/>
  <c r="J3" i="3"/>
  <c r="N13" i="2"/>
  <c r="I13" i="2"/>
  <c r="N12" i="2"/>
  <c r="I12" i="2"/>
  <c r="N11" i="2"/>
  <c r="I11" i="2"/>
  <c r="N10" i="2"/>
  <c r="I10" i="2"/>
  <c r="N9" i="2"/>
  <c r="I9" i="2"/>
  <c r="N8" i="2"/>
  <c r="L14" i="2" s="1"/>
  <c r="G14" i="2"/>
  <c r="F14" i="1" s="1"/>
  <c r="K198" i="1"/>
  <c r="L185" i="1"/>
  <c r="L182" i="1"/>
  <c r="L180" i="1"/>
  <c r="L178" i="1"/>
  <c r="L186" i="1" s="1"/>
  <c r="L175" i="1"/>
  <c r="L174" i="1"/>
  <c r="L170" i="1"/>
  <c r="L168" i="1"/>
  <c r="L166" i="1"/>
  <c r="L164" i="1"/>
  <c r="L162" i="1"/>
  <c r="L161" i="1"/>
  <c r="L160" i="1"/>
  <c r="L159" i="1"/>
  <c r="L157" i="1"/>
  <c r="L156" i="1"/>
  <c r="L155" i="1"/>
  <c r="L154" i="1"/>
  <c r="L153" i="1"/>
  <c r="L147" i="1"/>
  <c r="L145" i="1"/>
  <c r="L143" i="1"/>
  <c r="L138" i="1"/>
  <c r="L137" i="1"/>
  <c r="L136" i="1"/>
  <c r="L135" i="1"/>
  <c r="L133" i="1"/>
  <c r="L131" i="1"/>
  <c r="L129" i="1"/>
  <c r="L176" i="1" s="1"/>
  <c r="L126" i="1"/>
  <c r="L121" i="1"/>
  <c r="L119" i="1"/>
  <c r="L117" i="1"/>
  <c r="L115" i="1"/>
  <c r="L114" i="1"/>
  <c r="L113" i="1"/>
  <c r="L112" i="1"/>
  <c r="L111" i="1"/>
  <c r="L109" i="1"/>
  <c r="L107" i="1"/>
  <c r="L105" i="1"/>
  <c r="L103" i="1"/>
  <c r="L101" i="1"/>
  <c r="L99" i="1"/>
  <c r="L97" i="1"/>
  <c r="L96" i="1"/>
  <c r="L94" i="1"/>
  <c r="L92" i="1"/>
  <c r="L90" i="1"/>
  <c r="L88" i="1"/>
  <c r="L86" i="1"/>
  <c r="L84" i="1"/>
  <c r="L82" i="1"/>
  <c r="L78" i="1"/>
  <c r="L73" i="1"/>
  <c r="L72" i="1"/>
  <c r="L71" i="1"/>
  <c r="L70" i="1"/>
  <c r="L69" i="1"/>
  <c r="L68" i="1"/>
  <c r="L67" i="1"/>
  <c r="L65" i="1"/>
  <c r="L62" i="1"/>
  <c r="L61" i="1"/>
  <c r="L60" i="1"/>
  <c r="L59" i="1"/>
  <c r="L57" i="1"/>
  <c r="L55" i="1"/>
  <c r="L50" i="1"/>
  <c r="L48" i="1"/>
  <c r="L46" i="1"/>
  <c r="L45" i="1"/>
  <c r="L44" i="1"/>
  <c r="L41" i="1"/>
  <c r="L40" i="1"/>
  <c r="L39" i="1"/>
  <c r="L38" i="1"/>
  <c r="L37" i="1"/>
  <c r="L34" i="1"/>
  <c r="L33" i="1"/>
  <c r="L31" i="1"/>
  <c r="L29" i="1"/>
  <c r="L28" i="1"/>
  <c r="L26" i="1"/>
  <c r="H26" i="1"/>
  <c r="L24" i="1"/>
  <c r="L22" i="1"/>
  <c r="L17" i="1"/>
  <c r="L13" i="1"/>
  <c r="L12" i="1"/>
  <c r="L11" i="1"/>
  <c r="L10" i="1"/>
  <c r="L127" i="1" s="1"/>
  <c r="K16" i="3" l="1"/>
  <c r="F15" i="1" s="1"/>
  <c r="F26" i="1" s="1"/>
  <c r="K56" i="4"/>
  <c r="F16" i="1" s="1"/>
</calcChain>
</file>

<file path=xl/sharedStrings.xml><?xml version="1.0" encoding="utf-8"?>
<sst xmlns="http://schemas.openxmlformats.org/spreadsheetml/2006/main" count="3013" uniqueCount="1970">
  <si>
    <t>2022-2023</t>
  </si>
  <si>
    <t>Kingston K-14 and Richwoods R-7 School District, Food Service Department are requesting pricing on the items listed below</t>
  </si>
  <si>
    <t>Pricing is to be locked in starting August 1, 2022 and ending July 31, 2023. Pricing may be extended.</t>
  </si>
  <si>
    <t>The estimated quantities on this list are for information purposes only and do not in any way obligate Kingston K-14 or Richwoods R-7 School District to purchase any definite quantity of any item.</t>
  </si>
  <si>
    <t>These estimates are based on our yearly usage.</t>
  </si>
  <si>
    <t>Account Numbers: Kingston MS/HS___________, Prim/Elem___________, Supper___________, FFVP___________, CUSTODIAL___________, Richwoods___________</t>
  </si>
  <si>
    <t>CONTACT: LETA A. LUTE, D.F.S. (573-438-4982 x892)</t>
  </si>
  <si>
    <t>This institution is an equal opportunity provider.</t>
  </si>
  <si>
    <t>NAME OF VENDOR:</t>
  </si>
  <si>
    <t>PHONE #:</t>
  </si>
  <si>
    <t>VENDOR QUESTIONNAIRE</t>
  </si>
  <si>
    <t xml:space="preserve">                Any items not on this bid which district wishes to purchase will be supplied at cost plus    </t>
  </si>
  <si>
    <t>%</t>
  </si>
  <si>
    <t>SUB-TOTALS</t>
  </si>
  <si>
    <t>DOLLAR AMOUNT</t>
  </si>
  <si>
    <t># OF ITEMS BID</t>
  </si>
  <si>
    <t xml:space="preserve"> TOTAL ITEMS</t>
  </si>
  <si>
    <t>*FRESH MILK</t>
  </si>
  <si>
    <t>*FRESH BREAD</t>
  </si>
  <si>
    <t>*FRESH PRODUCE</t>
  </si>
  <si>
    <t>*NOI</t>
  </si>
  <si>
    <t>+MEAT/MEAT ALT</t>
  </si>
  <si>
    <t>+GRAIN/BREAD</t>
  </si>
  <si>
    <t>+FRUIT DRY/FROZEN</t>
  </si>
  <si>
    <t>+VEG DRY/FROZEN</t>
  </si>
  <si>
    <t>+SUNDRY</t>
  </si>
  <si>
    <t>*DAIRY/DAIRY ALT</t>
  </si>
  <si>
    <t>+SPICES</t>
  </si>
  <si>
    <t>+PAPER/CHEMICAL</t>
  </si>
  <si>
    <t>GRAND TOTAL</t>
  </si>
  <si>
    <t>SIGNATURES</t>
  </si>
  <si>
    <t>This form must be signed by the owner or officer of the company submitting the bid.</t>
  </si>
  <si>
    <t xml:space="preserve">Authorized Signature:                                                                              </t>
  </si>
  <si>
    <t>Date:</t>
  </si>
  <si>
    <t xml:space="preserve">Printed Name and Title:     </t>
  </si>
  <si>
    <t xml:space="preserve">Firm or Corporation Name:    </t>
  </si>
  <si>
    <t xml:space="preserve">Address, City, State, and Zip Code:  </t>
  </si>
  <si>
    <t>Phone Number:</t>
  </si>
  <si>
    <t>Fax Number:</t>
  </si>
  <si>
    <t xml:space="preserve"> </t>
  </si>
  <si>
    <t>INCREASE</t>
  </si>
  <si>
    <t>ITEMS</t>
  </si>
  <si>
    <t>decrease</t>
  </si>
  <si>
    <t>increase</t>
  </si>
  <si>
    <t>increase across the board</t>
  </si>
  <si>
    <t>MILK BID SHEET FOR 2022-2023 SCHOOL YEAR</t>
  </si>
  <si>
    <t>The Kingston K-14 Board of Education is seeking bids to supply our school cafeteria's milk needs for the 2022-2023 school term.</t>
  </si>
  <si>
    <t>DUE BY: 8:00 am on Monday, July 11, 2022</t>
  </si>
  <si>
    <t>OPTION 1: Firm Pricing</t>
  </si>
  <si>
    <t>OPTION 2: Escalating Pricing</t>
  </si>
  <si>
    <t>IDENTIFICATION</t>
  </si>
  <si>
    <t>EST. YEARLY UNITS</t>
  </si>
  <si>
    <t>SIZE</t>
  </si>
  <si>
    <t>BRAND &amp; ITEM NUMBER</t>
  </si>
  <si>
    <t>COST PER UNIT</t>
  </si>
  <si>
    <t>TOTAL COST</t>
  </si>
  <si>
    <t>Milk, unflavored, 1% fat, ½ pint carton</t>
  </si>
  <si>
    <t>8 OZ</t>
  </si>
  <si>
    <t>Milk, unflavored, fat free, ½ pint carton</t>
  </si>
  <si>
    <t>SUNDRY, MILK, BUTTERMILK 1%</t>
  </si>
  <si>
    <t>64 OZ</t>
  </si>
  <si>
    <t>SUNDRY, MILK HEAVY WHIPPING CREAM</t>
  </si>
  <si>
    <t>32 OZ</t>
  </si>
  <si>
    <t>** Total bid prices for estimated units. Return this page and nutritional statements/data for milk items with bid packet. **</t>
  </si>
  <si>
    <t>CONTRACT PERIOD</t>
  </si>
  <si>
    <t>Vendors are cautioned that the items furnished must be at the prices submitted. All bid prices shall be firm for the period of August 01, 2022 to July 31, 2023. This contract may be terminated at any time by the School District upon sixty (60) days written notice should the School District determine that it is not in its best interest to continue the contract and /or the Vendor is not performing within the provisions and intent of this contract.</t>
  </si>
  <si>
    <t>EXPLANATION</t>
  </si>
  <si>
    <t>Fixed Bid prices must stay firm for the period of August 01, 2022 to July 31, 2023.</t>
  </si>
  <si>
    <t>Escalator Bid allows for market fluctuations. A letter on vendor letterhead is required for any fluctuation in price after acceptance of the successful bid. This letter must state the item(s) affected by a price change, the correct price(s), the price the item(s) will be, and the effective date of the price change. The vendor must provide reason for price change and proof of reason, if requested. The District must be notified a minimum of two weeks prior to any changes in pricing.</t>
  </si>
  <si>
    <t>Buy American: As required by the USDA Buy American provision, the district will purchase, to the maximum extent practicable, domestic commodities or products for its nutrition program. "Domestic commodity" means an agricultural commodity that is produced in the United States of America, and "domestic product" means a food product that is processed in the United States of America substantially using agricultural commodities that are produced in the United States of America. See 7 C.F.R. §§ 210.21, 220.16.</t>
  </si>
  <si>
    <t>THE TWO DELIVERY SITES TO BE FURNISHED ARE:</t>
  </si>
  <si>
    <t>Kingston Middle School Cafeteria and Kingston Primary Cafeteria</t>
  </si>
  <si>
    <t>10047 Diamond Rd. Cadet, MO 63630</t>
  </si>
  <si>
    <t>BOTH BUILDINGS ARE LOCATED ON THE SAME CAMPUS.</t>
  </si>
  <si>
    <t>The Middle School Cafeteria is located at the back of the first building you come to.</t>
  </si>
  <si>
    <t>The Primary School Cafeteria is located in the back of the building that is located at the top of the hill.</t>
  </si>
  <si>
    <t>All bids are to be sealed and marked "Milk Bid" and submitted to:</t>
  </si>
  <si>
    <t>Dr. Lee Ann Wallace, Superintendent of Schools</t>
  </si>
  <si>
    <t>Kingston K-14 School District</t>
  </si>
  <si>
    <t>10047 Diamond Rd., Cadet, MO 63630</t>
  </si>
  <si>
    <t>573-438-4982 x 892</t>
  </si>
  <si>
    <t>Company Name</t>
  </si>
  <si>
    <t>Address</t>
  </si>
  <si>
    <t>City</t>
  </si>
  <si>
    <t>State</t>
  </si>
  <si>
    <t>Zip</t>
  </si>
  <si>
    <t>Telephone number</t>
  </si>
  <si>
    <t>Fax Number</t>
  </si>
  <si>
    <t>Printed Name &amp; Title</t>
  </si>
  <si>
    <t>Email</t>
  </si>
  <si>
    <t>Signature</t>
  </si>
  <si>
    <t>Date</t>
  </si>
  <si>
    <t>EQUAL OPPORTUNITY EMPLOYER</t>
  </si>
  <si>
    <t>NAME:</t>
  </si>
  <si>
    <t>ITEM DESCRIPTION</t>
  </si>
  <si>
    <t>SPEC SIZE</t>
  </si>
  <si>
    <t>PACK SIZE IF DIFFERENT THAN SPEC</t>
  </si>
  <si>
    <t>DIST ORDER #</t>
  </si>
  <si>
    <t>APPROVED BRANDS</t>
  </si>
  <si>
    <t>BID UNIT</t>
  </si>
  <si>
    <t>ESMTD QTY NEEDED</t>
  </si>
  <si>
    <t>8% mark up</t>
  </si>
  <si>
    <t>2021 - 2022 Bid Price</t>
  </si>
  <si>
    <t>UNIT PRICE</t>
  </si>
  <si>
    <t>EXTENDED (EST QTY x UNIT PRICE)</t>
  </si>
  <si>
    <t>FRESH OR FROZEN FRESH BREADS</t>
  </si>
  <si>
    <t>BREAD- WHOLE GRAIN WHITE OR WHEAT</t>
  </si>
  <si>
    <t>Bread – Whole Grain White (NO Whole Wheat, NO Oat Topping)</t>
  </si>
  <si>
    <t>10/24oz or 240ct</t>
  </si>
  <si>
    <t>FLOWERS # 998835670 or equal to</t>
  </si>
  <si>
    <t>SLICES</t>
  </si>
  <si>
    <t>51% or higher whole grain , sliced, enriched, no more than 30 grams weight per slice (1oz. grain equivalent), 19-20 oz. loaf</t>
  </si>
  <si>
    <t>(need nutrient fact sheet and samples, along with CN label if available)</t>
  </si>
  <si>
    <t>BREAD - BUNS HAMBURGER</t>
  </si>
  <si>
    <t>Buns – Hamburger (NO Whole Wheat, NO Oat Topping)</t>
  </si>
  <si>
    <t>CS:120/2 oz -3.5"</t>
  </si>
  <si>
    <t>FLOWERS # 99832050 or equat to</t>
  </si>
  <si>
    <t>BUNS</t>
  </si>
  <si>
    <t>BREAD- HOT DOG BUNS</t>
  </si>
  <si>
    <t>Buns – Hot Dog (NO Whole Wheat, NO Oat Topping)</t>
  </si>
  <si>
    <t>CS:144/2OZ</t>
  </si>
  <si>
    <t>FLOWERS #99828820 or equat to</t>
  </si>
  <si>
    <t>BREAD- DELI BUN</t>
  </si>
  <si>
    <t>Buns –Deli Bun (NO Whole Wheat, NO Oat Topping)</t>
  </si>
  <si>
    <t>CS: 120/2OZ</t>
  </si>
  <si>
    <t>FLOWERS # 99809400 or equat to</t>
  </si>
  <si>
    <t>51% or higher whole grain white, enriched, no more than 85 grams weight per bun (2-3.25 oz. grain equivalent), ____count package</t>
  </si>
  <si>
    <t xml:space="preserve">Students do not like the taste or texture of Bake Crafters bread it comes in dried out and freezer burnt looking. </t>
  </si>
  <si>
    <t xml:space="preserve">                                                                                 FRESH OR FROZEN FRESH BREADS</t>
  </si>
  <si>
    <t>All bids are to be sealed and marked "Bread Bid" and submitted to:</t>
  </si>
  <si>
    <t>Dr. Lee Ann Wallace, Superintendent of School</t>
  </si>
  <si>
    <t>Vendors are cautioned that the items furnished must be at the prices submitted. All bid prices shall be firm for the period of August 1, 2022 to July 31, 2023.  Pricing may be extended. This contract may be terminated at any time by the School District upon sixty (60) days written notice should the School District determine that it is not in its best interest to continue the contract and /or the Vendor is not performing within the provisions and intent of this contract.</t>
  </si>
  <si>
    <t>As required by the USDA Buy American provision, the district will purchase, to the maximum extent practicable, domestic commodities or products for its nutrition program. "Domestic commodity" means an agricultural commodity that is produced in the United States of America, and "domestic product" means a food product that is processed in the United States of America substantially using agricultural commodities that are produced in the United States of America. See 7 C.F.R. §§ 210.21, 220.16.</t>
  </si>
  <si>
    <t>Bids must be received by 8:00 am on Monday, July 11, 2022. The Board of Education reserves the right to accept or reject any and all bids. Contracts become null and void if sold, transferred, conveyed to another party, otherwise altered in any way.</t>
  </si>
  <si>
    <t>Submitted by :</t>
  </si>
  <si>
    <t>Kingston Middle School Cafeteria is located at the back of the first building you come to.</t>
  </si>
  <si>
    <t>Kingston Primary School Cafeteria is located in the back of the building that is located at the top of the hill.</t>
  </si>
  <si>
    <t>FRESH PRODUCE  *USA on everything possible* Locally Grown</t>
  </si>
  <si>
    <t>FRUIT, FRESH, BULK YELLOW</t>
  </si>
  <si>
    <t>Fresh Goldend Gelicious Apples</t>
  </si>
  <si>
    <t>45#</t>
  </si>
  <si>
    <t>APPLE GOLD DEL XFCY 125CT-WA</t>
  </si>
  <si>
    <t>CASE</t>
  </si>
  <si>
    <t>FRUIT, FRESH, BULK RED</t>
  </si>
  <si>
    <t>Fresh Red Delicious Apples</t>
  </si>
  <si>
    <t>APPLE RED DEL XFCY 125 CT- WA</t>
  </si>
  <si>
    <t>FRUIT, FRESH, BANANAS</t>
  </si>
  <si>
    <t xml:space="preserve">Dole, Banana's turning     </t>
  </si>
  <si>
    <t xml:space="preserve">40# </t>
  </si>
  <si>
    <t>Dole Turn 95/AVE or Equal To</t>
  </si>
  <si>
    <t>FRUIT, FRESH, BELL PEPPER</t>
  </si>
  <si>
    <r>
      <rPr>
        <sz val="9"/>
        <color theme="1"/>
        <rFont val="Arial"/>
      </rPr>
      <t xml:space="preserve">Bell peppers fresh-3-1/4"THICK SLICES=293-1/4 CUP SERVINGS    </t>
    </r>
    <r>
      <rPr>
        <b/>
        <sz val="9"/>
        <color theme="1"/>
        <rFont val="Arial"/>
      </rPr>
      <t>APRX</t>
    </r>
    <r>
      <rPr>
        <sz val="9"/>
        <color theme="1"/>
        <rFont val="Arial"/>
      </rPr>
      <t>-</t>
    </r>
    <r>
      <rPr>
        <b/>
        <sz val="9"/>
        <color theme="1"/>
        <rFont val="Arial"/>
      </rPr>
      <t>65CT</t>
    </r>
    <r>
      <rPr>
        <sz val="9"/>
        <color theme="1"/>
        <rFont val="Arial"/>
      </rPr>
      <t xml:space="preserve">                                 </t>
    </r>
  </si>
  <si>
    <t>25#</t>
  </si>
  <si>
    <t>VEG. FRESH, BROCCOLI</t>
  </si>
  <si>
    <r>
      <rPr>
        <sz val="9"/>
        <color theme="1"/>
        <rFont val="Arial"/>
      </rPr>
      <t>Broccoli Florets Fresh, iceless * USA</t>
    </r>
    <r>
      <rPr>
        <b/>
        <sz val="9"/>
        <color theme="1"/>
        <rFont val="Arial"/>
      </rPr>
      <t xml:space="preserve">                               </t>
    </r>
  </si>
  <si>
    <t>4/3#</t>
  </si>
  <si>
    <t>DISTRIBUTOR'S  CHOICE</t>
  </si>
  <si>
    <t xml:space="preserve">152 - 1/4c. srv of dark green veg per cs.      </t>
  </si>
  <si>
    <t>3#</t>
  </si>
  <si>
    <t>Taylor</t>
  </si>
  <si>
    <t>VEG. FRESH, CARROTS</t>
  </si>
  <si>
    <t xml:space="preserve">Whole peeled baby carrots-   Carrots individual pack *USA </t>
  </si>
  <si>
    <t>200/1.6Z</t>
  </si>
  <si>
    <t>GRIMWAY - 200/1.6oz</t>
  </si>
  <si>
    <r>
      <rPr>
        <sz val="9"/>
        <color theme="1"/>
        <rFont val="Arial"/>
      </rPr>
      <t xml:space="preserve">Carrots whole baby  peeled - USA   </t>
    </r>
    <r>
      <rPr>
        <b/>
        <sz val="9"/>
        <color theme="1"/>
        <rFont val="Arial"/>
      </rPr>
      <t xml:space="preserve">  (36-1/2cup)   </t>
    </r>
  </si>
  <si>
    <t>6/1#</t>
  </si>
  <si>
    <t>GRIMWAY - WHL BABY PLD 6/1#</t>
  </si>
  <si>
    <t>or Equal To</t>
  </si>
  <si>
    <t>FRUIT, FRESH, CANTALOUPES</t>
  </si>
  <si>
    <r>
      <rPr>
        <sz val="9"/>
        <color theme="1"/>
        <rFont val="Arial"/>
      </rPr>
      <t>Cantaloupe fresh- JUMBO-</t>
    </r>
    <r>
      <rPr>
        <b/>
        <sz val="9"/>
        <color theme="1"/>
        <rFont val="Arial"/>
      </rPr>
      <t>12 CT=96-1/2c srv</t>
    </r>
  </si>
  <si>
    <t>9-12CT</t>
  </si>
  <si>
    <t xml:space="preserve">PACKER or Equal To </t>
  </si>
  <si>
    <t xml:space="preserve">1/8 OF A JUMBO MELON = 1/2 FRUIT                                          </t>
  </si>
  <si>
    <t>VEG. FRESH, CAULIFLOWER</t>
  </si>
  <si>
    <t xml:space="preserve">Cauliflower Florets Fresh, iceless * USA                                                   </t>
  </si>
  <si>
    <t xml:space="preserve">2/3# </t>
  </si>
  <si>
    <t xml:space="preserve">152 - 1/4 c. srv of other veg per cs  </t>
  </si>
  <si>
    <t>VEG. FRESH, CELERY STICKS</t>
  </si>
  <si>
    <t>Celery Stix Fresh, iceless</t>
  </si>
  <si>
    <t>5#</t>
  </si>
  <si>
    <t xml:space="preserve">approx. 60-1/4c. Srv per 5# bag  </t>
  </si>
  <si>
    <t>FRUIT, FRESH, CLEMENTINES</t>
  </si>
  <si>
    <t>CLEMENTINES</t>
  </si>
  <si>
    <t>10/3#</t>
  </si>
  <si>
    <t>PACKER CLEMENTINES CHILE</t>
  </si>
  <si>
    <t>VEG. FRESH, CUCUMBERS</t>
  </si>
  <si>
    <r>
      <rPr>
        <sz val="9"/>
        <color theme="1"/>
        <rFont val="Arial"/>
      </rPr>
      <t>Cucumbers Fresh-</t>
    </r>
    <r>
      <rPr>
        <b/>
        <sz val="9"/>
        <color theme="1"/>
        <rFont val="Arial"/>
      </rPr>
      <t xml:space="preserve"> approx. 30-1/4c.srv of slices per 6ct cs </t>
    </r>
  </si>
  <si>
    <t>6CT</t>
  </si>
  <si>
    <t>DISTRIBUTORS CHOICE Packer</t>
  </si>
  <si>
    <r>
      <rPr>
        <sz val="9"/>
        <color theme="1"/>
        <rFont val="Arial"/>
      </rPr>
      <t xml:space="preserve">Cucumbers Fresh - </t>
    </r>
    <r>
      <rPr>
        <b/>
        <sz val="9"/>
        <color theme="1"/>
        <rFont val="Arial"/>
      </rPr>
      <t>approx. 120-1/4c srv of slices per 24ct cs</t>
    </r>
  </si>
  <si>
    <t>24CT</t>
  </si>
  <si>
    <t>Packer</t>
  </si>
  <si>
    <t>FRUIT, FRESH, GRAPES</t>
  </si>
  <si>
    <t>Grapes seedless fresh-RED</t>
  </si>
  <si>
    <t>18#</t>
  </si>
  <si>
    <t xml:space="preserve">Packer- GREEN </t>
  </si>
  <si>
    <t>Grapes seedless fresh-GREEN</t>
  </si>
  <si>
    <t>Packer- RED</t>
  </si>
  <si>
    <t>PER LB</t>
  </si>
  <si>
    <t>FRUIT, FRESH, GRAPEFRUIT</t>
  </si>
  <si>
    <r>
      <rPr>
        <sz val="9"/>
        <color theme="1"/>
        <rFont val="Arial"/>
      </rPr>
      <t xml:space="preserve">Grapefruit USA   </t>
    </r>
    <r>
      <rPr>
        <b/>
        <sz val="9"/>
        <color theme="1"/>
        <rFont val="Arial"/>
      </rPr>
      <t xml:space="preserve">   </t>
    </r>
  </si>
  <si>
    <t>48CT</t>
  </si>
  <si>
    <t xml:space="preserve">DISTRIBUTORS CHOICE - </t>
  </si>
  <si>
    <t>FRUIT, FRESH, HONEYDEW</t>
  </si>
  <si>
    <r>
      <rPr>
        <sz val="9"/>
        <color theme="1"/>
        <rFont val="Arial"/>
      </rPr>
      <t>Honeydew Melon fresh- JUMBO-</t>
    </r>
    <r>
      <rPr>
        <b/>
        <sz val="9"/>
        <color theme="1"/>
        <rFont val="Arial"/>
      </rPr>
      <t>6 CT=48-1/2c</t>
    </r>
  </si>
  <si>
    <t xml:space="preserve">1/8 OF A JUMBO MELON = 1/2 FRUIT                                        </t>
  </si>
  <si>
    <t>FRUIT, FRESH, KIWI</t>
  </si>
  <si>
    <t xml:space="preserve">Kiwi fruit fresh                        </t>
  </si>
  <si>
    <t>36CT</t>
  </si>
  <si>
    <t xml:space="preserve">6-1/4"SLICES = 1/4 CUP FRUIT                    </t>
  </si>
  <si>
    <t>FRUIT, FRESH, NECTARINES</t>
  </si>
  <si>
    <r>
      <rPr>
        <sz val="9"/>
        <color theme="1"/>
        <rFont val="Arial"/>
      </rPr>
      <t xml:space="preserve">Nectarines fresh *USA </t>
    </r>
    <r>
      <rPr>
        <b/>
        <sz val="9"/>
        <color theme="1"/>
        <rFont val="Arial"/>
      </rPr>
      <t>25#=54-56CT</t>
    </r>
  </si>
  <si>
    <t>54/56CT</t>
  </si>
  <si>
    <t xml:space="preserve">1 NECTARINE = 3/4 CUP FRUIT                    </t>
  </si>
  <si>
    <t>VEG. FRESH, ONIONS</t>
  </si>
  <si>
    <t xml:space="preserve">Onion red sweet jumbo *USA                                                </t>
  </si>
  <si>
    <t>10#</t>
  </si>
  <si>
    <t>PACKER - Red JMB SPL</t>
  </si>
  <si>
    <t>BAG</t>
  </si>
  <si>
    <t>FRUIT, FRESH, ORANGES</t>
  </si>
  <si>
    <r>
      <rPr>
        <sz val="9"/>
        <color theme="1"/>
        <rFont val="Arial"/>
      </rPr>
      <t xml:space="preserve">Choice, navel oranges *USA </t>
    </r>
    <r>
      <rPr>
        <b/>
        <sz val="9"/>
        <color theme="1"/>
        <rFont val="Arial"/>
      </rPr>
      <t xml:space="preserve"> 1 whole - 138ct orange = 1/2c. Fruit srv.  PACK:138ct/40#cs</t>
    </r>
  </si>
  <si>
    <t>40#</t>
  </si>
  <si>
    <t>DISTRIBUTOR'S CHOICE 
SUNKIST</t>
  </si>
  <si>
    <t>FRUIT, FRESH, PEACHES</t>
  </si>
  <si>
    <t xml:space="preserve">Peaches Yellow 56C *USA                             </t>
  </si>
  <si>
    <t>54/56 CT</t>
  </si>
  <si>
    <t>PACKER</t>
  </si>
  <si>
    <t>1 PEACH = 3/8 CUP OF FRUIT</t>
  </si>
  <si>
    <t>FRUIT, FRESH, PEARS</t>
  </si>
  <si>
    <r>
      <rPr>
        <sz val="9"/>
        <color theme="1"/>
        <rFont val="Arial"/>
      </rPr>
      <t xml:space="preserve">Pears fresh *USA </t>
    </r>
    <r>
      <rPr>
        <b/>
        <sz val="9"/>
        <color theme="1"/>
        <rFont val="Arial"/>
      </rPr>
      <t>90-100 CT</t>
    </r>
  </si>
  <si>
    <t>DISTRIBUTOR'S CHOICE</t>
  </si>
  <si>
    <t>Blue Star</t>
  </si>
  <si>
    <t>100 CT</t>
  </si>
  <si>
    <t>FRUIT, FRESH, PLUMS</t>
  </si>
  <si>
    <r>
      <rPr>
        <sz val="9"/>
        <color theme="1"/>
        <rFont val="Arial"/>
      </rPr>
      <t xml:space="preserve">Plums fresh *USA </t>
    </r>
    <r>
      <rPr>
        <b/>
        <sz val="9"/>
        <color theme="1"/>
        <rFont val="Arial"/>
      </rPr>
      <t>18#/60-65CT</t>
    </r>
  </si>
  <si>
    <t>60/65 VF</t>
  </si>
  <si>
    <t xml:space="preserve">1 PLUM = 1/2 CUP FRUIT                    </t>
  </si>
  <si>
    <t>VEG. FRESH, COLE SLAW</t>
  </si>
  <si>
    <t xml:space="preserve">SLAW MIX DICED/ CHOPPED </t>
  </si>
  <si>
    <t>DISTRIBUTORS CHOICE       5# bag</t>
  </si>
  <si>
    <t>BAGS</t>
  </si>
  <si>
    <t>VEG. FRESH, ROMAINE LETTUCE</t>
  </si>
  <si>
    <t xml:space="preserve">ROMAINE CHOPPED * USA*        </t>
  </si>
  <si>
    <t>6/2#</t>
  </si>
  <si>
    <t>DISTRIBUTORS CHOICE
GREENGATE</t>
  </si>
  <si>
    <t xml:space="preserve">CASE </t>
  </si>
  <si>
    <t xml:space="preserve">VEG. FRESH, RADISH </t>
  </si>
  <si>
    <t xml:space="preserve">RADISH CELLO *USA    </t>
  </si>
  <si>
    <t>3/1#</t>
  </si>
  <si>
    <t>DISTRIBUTORS CHOICE- PACKER</t>
  </si>
  <si>
    <t>VEG. FRESH, SPINACH BABY</t>
  </si>
  <si>
    <t xml:space="preserve">Baby Spinach *USA*           </t>
  </si>
  <si>
    <t>4#</t>
  </si>
  <si>
    <t>DISTRIBUTORS CHOICE- GREENGATE</t>
  </si>
  <si>
    <t>PER OZ</t>
  </si>
  <si>
    <t>FRUIT, FRESH, STRAWBERRIES</t>
  </si>
  <si>
    <t>STRAWBERRIES, FRESH</t>
  </si>
  <si>
    <t>8/1#</t>
  </si>
  <si>
    <t>DISTRIBUTORS CHOICE</t>
  </si>
  <si>
    <t xml:space="preserve">APPROX. 31.6 -1/2 CUP SERVINGS PER CASE     </t>
  </si>
  <si>
    <t>Nature Ripe</t>
  </si>
  <si>
    <t>PER PINT</t>
  </si>
  <si>
    <t>VEG. FRESH, TOMATOES</t>
  </si>
  <si>
    <t xml:space="preserve">TOMATOES,BULK         5X6 #1 *USA        </t>
  </si>
  <si>
    <t xml:space="preserve">TOMATOES, GRAPE, *USA    5#=72-1/4c srv/3@      </t>
  </si>
  <si>
    <t>FRUIT, FRESH, WATERMELON</t>
  </si>
  <si>
    <t xml:space="preserve">WATERMELON FRESH *USA  (approx. 40-1/2c srv per 15# melon)   </t>
  </si>
  <si>
    <t>15#</t>
  </si>
  <si>
    <t>DISTRIBUTOR CHOICE- SEEDLESS</t>
  </si>
  <si>
    <t>EACH</t>
  </si>
  <si>
    <r>
      <rPr>
        <b/>
        <sz val="12"/>
        <color rgb="FF000000"/>
        <rFont val="Arial"/>
      </rPr>
      <t>FRESH CUT FRUITS AND VEGETABLES TO BE USED FOR FFVP  ** 2 DAY LEAD TIME  **</t>
    </r>
    <r>
      <rPr>
        <b/>
        <sz val="12"/>
        <color rgb="FF000000"/>
        <rFont val="Arial"/>
      </rPr>
      <t xml:space="preserve"> </t>
    </r>
  </si>
  <si>
    <t>Usage is based on Fresh Fruit and Vegetable Grant Funding</t>
  </si>
  <si>
    <t>HONEYDEW CUP  (2DAY)</t>
  </si>
  <si>
    <t>48/2Z</t>
  </si>
  <si>
    <r>
      <rPr>
        <sz val="9"/>
        <color theme="1"/>
        <rFont val="Arial"/>
      </rPr>
      <t xml:space="preserve">UNITED FRUIT </t>
    </r>
    <r>
      <rPr>
        <sz val="9"/>
        <color theme="1"/>
        <rFont val="Arial"/>
      </rPr>
      <t xml:space="preserve">or Equal To
</t>
    </r>
  </si>
  <si>
    <t xml:space="preserve">KIWI CUP  (2DAY)             </t>
  </si>
  <si>
    <r>
      <rPr>
        <sz val="9"/>
        <color theme="1"/>
        <rFont val="Arial"/>
      </rPr>
      <t xml:space="preserve">UNITED FRUIT </t>
    </r>
    <r>
      <rPr>
        <sz val="9"/>
        <color theme="1"/>
        <rFont val="Arial"/>
      </rPr>
      <t xml:space="preserve">or Equal To
</t>
    </r>
  </si>
  <si>
    <t xml:space="preserve">MANGO CUP  (2DAY)         </t>
  </si>
  <si>
    <r>
      <rPr>
        <sz val="9"/>
        <color theme="1"/>
        <rFont val="Arial"/>
      </rPr>
      <t xml:space="preserve">UNITED FRUIT </t>
    </r>
    <r>
      <rPr>
        <sz val="9"/>
        <color theme="1"/>
        <rFont val="Arial"/>
      </rPr>
      <t xml:space="preserve">or Equal To
</t>
    </r>
  </si>
  <si>
    <t xml:space="preserve">PINEAPPLE CUP  (2DAY)     </t>
  </si>
  <si>
    <r>
      <rPr>
        <sz val="9"/>
        <color theme="1"/>
        <rFont val="Arial"/>
      </rPr>
      <t xml:space="preserve">UNITED FRUIT </t>
    </r>
    <r>
      <rPr>
        <sz val="9"/>
        <color theme="1"/>
        <rFont val="Arial"/>
      </rPr>
      <t xml:space="preserve">or Equal To
</t>
    </r>
  </si>
  <si>
    <t>PLEASE INDICATE BY ASTERISK(*) WHICH PRODUCE PRICES ARE GUARANTEED FOR THE YEAR.</t>
  </si>
  <si>
    <t>FRESH PRODUCE SUB-TOTAL:</t>
  </si>
  <si>
    <t xml:space="preserve">The school district retains the right to purchase product from local farmers when the product is in peak season.  The school district also reserves the right to purchase products from local produce stands to give our students an opportunity to try new or different items. </t>
  </si>
  <si>
    <t>NOI</t>
  </si>
  <si>
    <t xml:space="preserve">MEAT, BEEF PATTIES                                                    </t>
  </si>
  <si>
    <t xml:space="preserve">Fully cooked beef steak burger 80/20 round shape with scalloped edge.  </t>
  </si>
  <si>
    <t xml:space="preserve">170/2OZ  </t>
  </si>
  <si>
    <t>PIERRE # 69050</t>
  </si>
  <si>
    <t xml:space="preserve">Clean Label CN label 1 -2 oz patty = 2 M/MA                                                     </t>
  </si>
  <si>
    <t xml:space="preserve">Commodity </t>
  </si>
  <si>
    <t>MEAT, BEEF-MINI CHEESEBURGERS</t>
  </si>
  <si>
    <t>Two 2.35 oz. fully cooked flamebroiled beef patty with onion and American cheese mini twin sandwiches on a whole grain bun provide 2.00 oz equivalent meat/meat alternate and 2.00 oz equivalent grains for child nutrition meal pattern requirements.</t>
  </si>
  <si>
    <t>96/4.71oz srv</t>
  </si>
  <si>
    <t>TYSON/PIERRE # 10000011177</t>
  </si>
  <si>
    <t xml:space="preserve">CN 2/2.35oz burgers = 2 M/MA-2 GRAIN.                                     </t>
  </si>
  <si>
    <t xml:space="preserve">OR EQUAL TO </t>
  </si>
  <si>
    <t>MEAT, CHEESE LASAGNA</t>
  </si>
  <si>
    <t xml:space="preserve">5 Cheese lasagna Rollup                                                                                                            </t>
  </si>
  <si>
    <t>110/4.30 oz</t>
  </si>
  <si>
    <t xml:space="preserve">Tasty Brands - # 00801WG or equal to </t>
  </si>
  <si>
    <t>CN: 1-4.30 ROLLUP = 2 M/MA, 1 GRAIN</t>
  </si>
  <si>
    <t>MEAT, CHEESE RAVIOLI</t>
  </si>
  <si>
    <t>Whole Grain Mini Cheese Ravioli - 221-2.17z srv-7each</t>
  </si>
  <si>
    <t>30#</t>
  </si>
  <si>
    <t xml:space="preserve">TASTY 00834WG </t>
  </si>
  <si>
    <t xml:space="preserve">CN Label 1oz M/MA  1/2oz Grain                          </t>
  </si>
  <si>
    <t>MEAT, CHEESE TORTELLINI</t>
  </si>
  <si>
    <r>
      <rPr>
        <sz val="9"/>
        <color theme="1"/>
        <rFont val="Arial"/>
      </rPr>
      <t>Whole grain ready to eat four cheese tortellini =211-2.27z srv cs(14 persrv)</t>
    </r>
    <r>
      <rPr>
        <b/>
        <sz val="9"/>
        <color theme="1"/>
        <rFont val="Arial"/>
      </rPr>
      <t xml:space="preserve">
</t>
    </r>
  </si>
  <si>
    <t>31.5#</t>
  </si>
  <si>
    <t xml:space="preserve">Tasty Brands - # 00830WG </t>
  </si>
  <si>
    <t xml:space="preserve">CN: 1-2.27 oz srv= 1 M/MA, 1 GRAIN         </t>
  </si>
  <si>
    <t>MEAT,  CHEESE SAUCE CHEDDAR</t>
  </si>
  <si>
    <r>
      <rPr>
        <sz val="9"/>
        <color theme="1"/>
        <rFont val="Arial"/>
      </rPr>
      <t xml:space="preserve">JTM reduced fat cheese sauce  </t>
    </r>
    <r>
      <rPr>
        <b/>
        <sz val="9"/>
        <color theme="1"/>
        <rFont val="Arial"/>
      </rPr>
      <t>263</t>
    </r>
    <r>
      <rPr>
        <sz val="9"/>
        <color theme="1"/>
        <rFont val="Arial"/>
      </rPr>
      <t>-</t>
    </r>
    <r>
      <rPr>
        <b/>
        <sz val="9"/>
        <color theme="1"/>
        <rFont val="Arial"/>
      </rPr>
      <t xml:space="preserve">1.82oz = 1oz M/MA                                                          </t>
    </r>
  </si>
  <si>
    <t>6/5# bags</t>
  </si>
  <si>
    <t>JTM # 5705</t>
  </si>
  <si>
    <t>MEAT, CHS SAUCE, GOLDEN QUESO</t>
  </si>
  <si>
    <t xml:space="preserve">JTM Premium Golden Hatch Chili Queso                                                                                 </t>
  </si>
  <si>
    <t>6/5# BAGS</t>
  </si>
  <si>
    <t xml:space="preserve">JTM # 5731 </t>
  </si>
  <si>
    <t xml:space="preserve">30lbs = 240-2oz srv /2oz = 1M/MA                                         </t>
  </si>
  <si>
    <t>MEAT, CHEESE SAUCE, ITALIAN</t>
  </si>
  <si>
    <r>
      <rPr>
        <sz val="9"/>
        <color theme="1"/>
        <rFont val="Arial"/>
      </rPr>
      <t xml:space="preserve">Italian cheese sauce               </t>
    </r>
    <r>
      <rPr>
        <b/>
        <sz val="9"/>
        <color theme="1"/>
        <rFont val="Arial"/>
      </rPr>
      <t xml:space="preserve">   3oz serv=1M/MA    </t>
    </r>
    <r>
      <rPr>
        <sz val="9"/>
        <color theme="1"/>
        <rFont val="Arial"/>
      </rPr>
      <t xml:space="preserve">                                                                    </t>
    </r>
  </si>
  <si>
    <t>6/106oz</t>
  </si>
  <si>
    <t xml:space="preserve">Land o Lake  - 39944 </t>
  </si>
  <si>
    <t>MEAT, CHEESE SAUCE, JALAPENO</t>
  </si>
  <si>
    <r>
      <rPr>
        <sz val="9"/>
        <color theme="1"/>
        <rFont val="Arial"/>
      </rPr>
      <t xml:space="preserve">JTM Jalapeno flavored cheese sauce   </t>
    </r>
    <r>
      <rPr>
        <b/>
        <sz val="9"/>
        <color theme="1"/>
        <rFont val="Arial"/>
      </rPr>
      <t xml:space="preserve">2oz= 1 M/MA                                                                </t>
    </r>
  </si>
  <si>
    <t xml:space="preserve">JTM # 5708  </t>
  </si>
  <si>
    <t>MEAT, CHEESE SAUCE, QUESO BLANCO</t>
  </si>
  <si>
    <r>
      <rPr>
        <sz val="9"/>
        <color theme="1"/>
        <rFont val="Arial"/>
      </rPr>
      <t xml:space="preserve">JTM Queso Blanco cheese sauce        </t>
    </r>
    <r>
      <rPr>
        <b/>
        <sz val="9"/>
        <color theme="1"/>
        <rFont val="Arial"/>
      </rPr>
      <t xml:space="preserve">2oz = 1M/MA                                                                 </t>
    </r>
  </si>
  <si>
    <t xml:space="preserve">JTM #5718 </t>
  </si>
  <si>
    <t>MEAT, CHEESE SLICES AMERICAN</t>
  </si>
  <si>
    <r>
      <rPr>
        <sz val="9"/>
        <color theme="1"/>
        <rFont val="Arial"/>
      </rPr>
      <t xml:space="preserve">Yellow Reduced Fat &amp; Sodium processed americance slice 960- </t>
    </r>
    <r>
      <rPr>
        <b/>
        <sz val="9"/>
        <color theme="1"/>
        <rFont val="Arial"/>
      </rPr>
      <t>1 slice =.5 M/MA</t>
    </r>
  </si>
  <si>
    <t>6/5# LVS</t>
  </si>
  <si>
    <t xml:space="preserve">BONGARDS - 101351 </t>
  </si>
  <si>
    <t>MEAT, CHEESE SLICES CHEDDAR</t>
  </si>
  <si>
    <r>
      <rPr>
        <sz val="9"/>
        <color theme="1"/>
        <rFont val="Arial"/>
      </rPr>
      <t xml:space="preserve">Natural blended Cheddar slices  640- </t>
    </r>
    <r>
      <rPr>
        <b/>
        <sz val="9"/>
        <color theme="1"/>
        <rFont val="Arial"/>
      </rPr>
      <t xml:space="preserve">1 slice = .5 M/MA   </t>
    </r>
    <r>
      <rPr>
        <sz val="9"/>
        <color theme="1"/>
        <rFont val="Arial"/>
      </rPr>
      <t xml:space="preserve">                                                          </t>
    </r>
  </si>
  <si>
    <t>4/5# LVS</t>
  </si>
  <si>
    <t xml:space="preserve">BONGARDS - 104411 </t>
  </si>
  <si>
    <t>MEAT, CHEESE SLICES PEP. JACK</t>
  </si>
  <si>
    <r>
      <rPr>
        <sz val="9"/>
        <color theme="1"/>
        <rFont val="Arial"/>
      </rPr>
      <t xml:space="preserve">Natural blended Pepper Jack process American  640slices  </t>
    </r>
    <r>
      <rPr>
        <b/>
        <sz val="9"/>
        <color theme="1"/>
        <rFont val="Arial"/>
      </rPr>
      <t xml:space="preserve">1 slice = .5 M/MA   </t>
    </r>
  </si>
  <si>
    <t xml:space="preserve">BONGARDS - 104441 </t>
  </si>
  <si>
    <t>MEAT, CHEESE SLICES PROVALONE</t>
  </si>
  <si>
    <r>
      <rPr>
        <sz val="9"/>
        <color theme="1"/>
        <rFont val="Arial"/>
      </rPr>
      <t>Natural blended Provolone Slice 640-</t>
    </r>
    <r>
      <rPr>
        <b/>
        <sz val="9"/>
        <color theme="1"/>
        <rFont val="Arial"/>
      </rPr>
      <t xml:space="preserve">1 slice - .5 M/MA                            </t>
    </r>
  </si>
  <si>
    <t xml:space="preserve">BONGARDS - 104461 </t>
  </si>
  <si>
    <t>MEAT, CHEESE SLICES SWISS</t>
  </si>
  <si>
    <r>
      <rPr>
        <sz val="9"/>
        <color theme="1"/>
        <rFont val="Arial"/>
      </rPr>
      <t>Natuary blended Swiss slices 640</t>
    </r>
    <r>
      <rPr>
        <b/>
        <sz val="9"/>
        <color theme="1"/>
        <rFont val="Arial"/>
      </rPr>
      <t xml:space="preserve">slice = .5 M/MA                                                                </t>
    </r>
  </si>
  <si>
    <t xml:space="preserve">BONGARDS -104431 </t>
  </si>
  <si>
    <t xml:space="preserve">MEAT, CHEESE SHRED MONTEREY </t>
  </si>
  <si>
    <t xml:space="preserve">Monterey Jack and Cheddar Fancy Shred  1/2 OZ= 1/2OZ                                                   </t>
  </si>
  <si>
    <t xml:space="preserve"> 4/5# BAGS</t>
  </si>
  <si>
    <t xml:space="preserve">BONGARDS - 771021 </t>
  </si>
  <si>
    <t>MEAT, CHEESE SHRED MOZZARELLA</t>
  </si>
  <si>
    <t xml:space="preserve">LMPS Mozzarella Feather Shred 1/2 OZ= 1/2OZ                                                            </t>
  </si>
  <si>
    <t xml:space="preserve">BONGARDS - 755071 </t>
  </si>
  <si>
    <t>MEAT, CHEESE STICK COLBY JACK</t>
  </si>
  <si>
    <r>
      <rPr>
        <sz val="9"/>
        <color theme="1"/>
        <rFont val="Arial"/>
      </rPr>
      <t xml:space="preserve">Colby Jack Marbled Stick Natural 1stick = 1oz                                                                             </t>
    </r>
    <r>
      <rPr>
        <b/>
        <sz val="9"/>
        <color theme="1"/>
        <rFont val="Arial"/>
      </rPr>
      <t>PACK: 168/1OZ</t>
    </r>
  </si>
  <si>
    <t xml:space="preserve"> 168/1OZ</t>
  </si>
  <si>
    <t xml:space="preserve">BONGARDS - 402931 </t>
  </si>
  <si>
    <t>MEAT, CHEESE STICK STRING</t>
  </si>
  <si>
    <r>
      <rPr>
        <sz val="9"/>
        <color theme="1"/>
        <rFont val="Arial"/>
      </rPr>
      <t xml:space="preserve">String Cheese Natural Mozzarella 1stick = 1oz                                                                            </t>
    </r>
    <r>
      <rPr>
        <b/>
        <sz val="9"/>
        <color theme="1"/>
        <rFont val="Arial"/>
      </rPr>
      <t>PACK: 168/1OZ</t>
    </r>
  </si>
  <si>
    <t>168/1OZ</t>
  </si>
  <si>
    <t>BONGARDS - 402951</t>
  </si>
  <si>
    <t>MEAT, CHICKEN, BREAST FILLET</t>
  </si>
  <si>
    <r>
      <rPr>
        <sz val="9"/>
        <color theme="1"/>
        <rFont val="Arial"/>
      </rPr>
      <t xml:space="preserve">FC, Grilled Chicken Breast Fillet w/grill Marks </t>
    </r>
    <r>
      <rPr>
        <b/>
        <sz val="9"/>
        <color theme="1"/>
        <rFont val="Arial"/>
      </rPr>
      <t xml:space="preserve"> 54/3oz PC 1 SRV=2z M/MA</t>
    </r>
  </si>
  <si>
    <t>Tyson 38350-928</t>
  </si>
  <si>
    <t xml:space="preserve">100% Domestically grown and processed                          </t>
  </si>
  <si>
    <t>MEAT, CHICKEN, DICED</t>
  </si>
  <si>
    <t xml:space="preserve">Oven roasted fully cooked 1/2"diced, marinated, whole muscle chicken. Natural </t>
  </si>
  <si>
    <t>Pilgrims Pride 1230</t>
  </si>
  <si>
    <r>
      <rPr>
        <sz val="9"/>
        <color theme="1"/>
        <rFont val="Arial"/>
      </rPr>
      <t xml:space="preserve">portions white and dark meat.  IQF 100% Domestically grown and processed                                                 </t>
    </r>
    <r>
      <rPr>
        <b/>
        <sz val="9"/>
        <color theme="1"/>
        <rFont val="Arial"/>
      </rPr>
      <t xml:space="preserve">   </t>
    </r>
  </si>
  <si>
    <t>Goldkist/Pilgrims Pride</t>
  </si>
  <si>
    <t xml:space="preserve">MEAT, CHICKEN, FAJITA </t>
  </si>
  <si>
    <t>FC, Seasoned Grilled, boneless, skinless dark meat chicken strips.      2 M/MA</t>
  </si>
  <si>
    <t>6-5# BAGS</t>
  </si>
  <si>
    <t>Tyson 004621-0928</t>
  </si>
  <si>
    <r>
      <rPr>
        <sz val="9"/>
        <color theme="1"/>
        <rFont val="Arial"/>
      </rPr>
      <t xml:space="preserve">100% Domestically grown and processed  </t>
    </r>
    <r>
      <rPr>
        <b/>
        <sz val="9"/>
        <color theme="1"/>
        <rFont val="Arial"/>
      </rPr>
      <t>160 srv./3 oz per srv</t>
    </r>
  </si>
  <si>
    <t>MEAT, CHICKEN, NUGGETS</t>
  </si>
  <si>
    <t>CN WG Homestyle breaded chicken nuggets (5pc) srv=2M/MA- 1 Grain</t>
  </si>
  <si>
    <t xml:space="preserve">30# </t>
  </si>
  <si>
    <t>Gold Kist- 615300</t>
  </si>
  <si>
    <t>5@=156srv-.608 oz pcs</t>
  </si>
  <si>
    <t>per taste testing</t>
  </si>
  <si>
    <t>MEAT, CHICKEN, PATTY</t>
  </si>
  <si>
    <t>FC, CN, WG Golden Crispy Chicken Patty  Fritters                2 M/Ma-1 Grain</t>
  </si>
  <si>
    <t>32.82#</t>
  </si>
  <si>
    <t>Tyson 70304-928</t>
  </si>
  <si>
    <r>
      <rPr>
        <sz val="9"/>
        <color theme="1"/>
        <rFont val="Arial"/>
      </rPr>
      <t xml:space="preserve">100% Domestically grown and processed         </t>
    </r>
    <r>
      <rPr>
        <b/>
        <sz val="9"/>
        <color theme="1"/>
        <rFont val="Arial"/>
      </rPr>
      <t>(148/3.54 oz patty)</t>
    </r>
  </si>
  <si>
    <t>MEAT, CHICKEN, POPCORN</t>
  </si>
  <si>
    <r>
      <rPr>
        <sz val="9"/>
        <color theme="1"/>
        <rFont val="Arial"/>
      </rPr>
      <t xml:space="preserve">FC, CN, WG Golden Crispy Popcorn Chicken, white &amp; dark meat formed </t>
    </r>
    <r>
      <rPr>
        <b/>
        <i/>
        <sz val="9"/>
        <color theme="1"/>
        <rFont val="Arial"/>
      </rPr>
      <t>2M-1G</t>
    </r>
  </si>
  <si>
    <t>32.79#-4bgs</t>
  </si>
  <si>
    <t>Tyson 70368-928</t>
  </si>
  <si>
    <r>
      <rPr>
        <sz val="9"/>
        <color theme="1"/>
        <rFont val="Arial"/>
      </rPr>
      <t xml:space="preserve">100% Domestically grown and processed  </t>
    </r>
    <r>
      <rPr>
        <b/>
        <sz val="9"/>
        <color theme="1"/>
        <rFont val="Arial"/>
      </rPr>
      <t>1860/12each=155-.28ze</t>
    </r>
  </si>
  <si>
    <t>MEAT, CHICKEN, TENDERS WHOLE MUSCLE</t>
  </si>
  <si>
    <r>
      <rPr>
        <sz val="9"/>
        <color theme="1"/>
        <rFont val="Arial"/>
      </rPr>
      <t xml:space="preserve">FC, CN, WG Golden Crispy made with whole muscle tenderloins </t>
    </r>
    <r>
      <rPr>
        <b/>
        <i/>
        <sz val="9"/>
        <color theme="1"/>
        <rFont val="Arial"/>
      </rPr>
      <t>2M/1G</t>
    </r>
  </si>
  <si>
    <t xml:space="preserve">30.99# </t>
  </si>
  <si>
    <t>Tyson 70332-928</t>
  </si>
  <si>
    <r>
      <rPr>
        <sz val="9"/>
        <color theme="1"/>
        <rFont val="Arial"/>
      </rPr>
      <t xml:space="preserve">100% Domestically grown and processed </t>
    </r>
    <r>
      <rPr>
        <b/>
        <sz val="9"/>
        <color theme="1"/>
        <rFont val="Arial"/>
      </rPr>
      <t>352/3@=117.3srv-1.41z pc</t>
    </r>
  </si>
  <si>
    <t>MEAT, CHICKEN, YANGS BBQ</t>
  </si>
  <si>
    <t xml:space="preserve">BBQ TERIYAKI CHICKEN - Slow bbq chicken paired with a teriyaki sauce </t>
  </si>
  <si>
    <t>6/5#</t>
  </si>
  <si>
    <t>YANGS - 15554</t>
  </si>
  <si>
    <t>240-2.8oz servings</t>
  </si>
  <si>
    <t>MEAT, CHICKEN, YANGS MANDARIN</t>
  </si>
  <si>
    <t>MANDARIN ORANGE CHICKEN - Crisp juicy chicken glazed with orange sauce</t>
  </si>
  <si>
    <t xml:space="preserve"> 6/5#</t>
  </si>
  <si>
    <t>YANGS -  15555</t>
  </si>
  <si>
    <t>192-3.6oz srv</t>
  </si>
  <si>
    <t>MEAT, CHICKEN, YANGS TSO'S</t>
  </si>
  <si>
    <t>GENERAL TSO'S CHICKEN - Crisp juicy chicken paired with sweet sauce with</t>
  </si>
  <si>
    <t>YANGS - 15563</t>
  </si>
  <si>
    <r>
      <rPr>
        <sz val="9"/>
        <color theme="1"/>
        <rFont val="Arial"/>
      </rPr>
      <t xml:space="preserve"> just a hint of heat.                                              </t>
    </r>
    <r>
      <rPr>
        <b/>
        <sz val="9"/>
        <color theme="1"/>
        <rFont val="Arial"/>
      </rPr>
      <t xml:space="preserve"> 192-3.6oz srv</t>
    </r>
  </si>
  <si>
    <t>MEAT, CHICKEN, AFS, JAPANESE CHERRY BLSM</t>
  </si>
  <si>
    <t xml:space="preserve">Japanese Cherry Blossom </t>
  </si>
  <si>
    <t>INTERNATIONAL FOOD SOLUTIONS 72005</t>
  </si>
  <si>
    <t>CN:1-3.9oz srv = 2M/MA- 1/2 Grain                           176-3.9oz</t>
  </si>
  <si>
    <t>MEAT, EGG HARDCOOKED PEELED</t>
  </si>
  <si>
    <t xml:space="preserve">Eggs Cooked Peeled </t>
  </si>
  <si>
    <t>8/18CT pack</t>
  </si>
  <si>
    <t>SUNNY FRESH # 50038</t>
  </si>
  <si>
    <t xml:space="preserve">CN: 1 egg= 1.75oz M/MA                                                     </t>
  </si>
  <si>
    <t>MEAT, EGG, EGGSTRAVAGANZA BACON</t>
  </si>
  <si>
    <t xml:space="preserve">Pre-cooked Frozen Scramble Eggs, with fully cooked bacon and pasteurized </t>
  </si>
  <si>
    <t xml:space="preserve">20# - 4/5lb </t>
  </si>
  <si>
    <t>SUNNY - 40928</t>
  </si>
  <si>
    <t xml:space="preserve">process sharp cheddar cheese.  CN labeled.  Quick frozen for freshness and </t>
  </si>
  <si>
    <t xml:space="preserve">packaged in convenient 5lb. Bags.  Each 2 oz serving provides 1.75 oz M/MA.  </t>
  </si>
  <si>
    <t>MEAT, EGG, EGGSTRAVAGANZA T. SAUSAGE</t>
  </si>
  <si>
    <t xml:space="preserve">Pre-cooked Frozen Scramble Eggs, with fully cooked turkey sausage crumbles and </t>
  </si>
  <si>
    <t>SUNNY - 40936</t>
  </si>
  <si>
    <t>pasteurized  process sharp cheddar cheese.  CN labeled. Quick frozen for freshness</t>
  </si>
  <si>
    <t xml:space="preserve">&amp; packaged in convenient 5lb. Bags.  Each 2 oz serving provides 2 oz M/MA.  </t>
  </si>
  <si>
    <t>MEAT, EGG, OMELET COLBY CHEESE</t>
  </si>
  <si>
    <t>Pre-cooked Frozen Colby Cheese Skillet Omelets. CN labeled.            2 M/MA</t>
  </si>
  <si>
    <t>29.53#</t>
  </si>
  <si>
    <t>SUNNY - 40176</t>
  </si>
  <si>
    <r>
      <rPr>
        <sz val="9"/>
        <color theme="1"/>
        <rFont val="Arial"/>
      </rPr>
      <t xml:space="preserve"> Omelet is sized to 2.1 oz portion.   </t>
    </r>
    <r>
      <rPr>
        <b/>
        <sz val="9"/>
        <color theme="1"/>
        <rFont val="Arial"/>
      </rPr>
      <t>225/2.1 OZ serv</t>
    </r>
  </si>
  <si>
    <t>MEAT, EGG, OMELET FIESTA CHEESE</t>
  </si>
  <si>
    <t xml:space="preserve">Frozen omelet filled with a delicious cheese, including Mozzarella and zesty </t>
  </si>
  <si>
    <t>210/2.2oz</t>
  </si>
  <si>
    <t>SUNNY - 40187</t>
  </si>
  <si>
    <r>
      <rPr>
        <sz val="9"/>
        <color theme="1"/>
        <rFont val="Arial"/>
      </rPr>
      <t>pepper jack Omelet</t>
    </r>
    <r>
      <rPr>
        <b/>
        <sz val="9"/>
        <color theme="1"/>
        <rFont val="Arial"/>
      </rPr>
      <t xml:space="preserve"> 2.2oz=2M/MA                                           </t>
    </r>
  </si>
  <si>
    <t>MEAT, EGG, OMELET FRITATTA CHEESE</t>
  </si>
  <si>
    <t>Skillet Fritatta with egg, cheese and turkey sausage</t>
  </si>
  <si>
    <t>225/2.2oz</t>
  </si>
  <si>
    <t>SUNNY - 40184</t>
  </si>
  <si>
    <t xml:space="preserve">2.20oz=2M/MA                                           </t>
  </si>
  <si>
    <t>MEAT, EGG, PATTIE SCRAMBLED</t>
  </si>
  <si>
    <t xml:space="preserve">Lightly browned round scrambled egg patty using whole eggs.  </t>
  </si>
  <si>
    <t>300/1.25oz</t>
  </si>
  <si>
    <t>SUNNY - 40711</t>
  </si>
  <si>
    <r>
      <rPr>
        <sz val="9"/>
        <color theme="1"/>
        <rFont val="Arial"/>
      </rPr>
      <t xml:space="preserve">CN labeled </t>
    </r>
    <r>
      <rPr>
        <b/>
        <sz val="9"/>
        <color theme="1"/>
        <rFont val="Arial"/>
      </rPr>
      <t xml:space="preserve">Each 1.25 oz egg patty = 1oz M/MA </t>
    </r>
  </si>
  <si>
    <t>MEAT, EGGS, SCRAMBLED</t>
  </si>
  <si>
    <t xml:space="preserve">Pre-cooked Frozen Scrambled Eggs . CN labeled. Fully cooked scrambled eggs </t>
  </si>
  <si>
    <t>4/5#</t>
  </si>
  <si>
    <t>SUNNY - 40927</t>
  </si>
  <si>
    <r>
      <rPr>
        <sz val="9"/>
        <color theme="1"/>
        <rFont val="Arial"/>
      </rPr>
      <t>made w/whole eggs, steam cooked,     CN labeled</t>
    </r>
    <r>
      <rPr>
        <b/>
        <sz val="9"/>
        <color theme="1"/>
        <rFont val="Arial"/>
      </rPr>
      <t xml:space="preserve"> 1 oz=1 M/MA </t>
    </r>
  </si>
  <si>
    <t>MEAT, MEXICAN, TACO SNACK</t>
  </si>
  <si>
    <t xml:space="preserve">Beef cheese taco snack w/o TVP     CN 2M/MA, 2G               </t>
  </si>
  <si>
    <t>48/4.75oz</t>
  </si>
  <si>
    <t>LOS CABOS - 63460 OR EQUAL TO</t>
  </si>
  <si>
    <t>MEAT, MEXICAN, PEPPER JACK</t>
  </si>
  <si>
    <t xml:space="preserve">Enchiladas Pepper Jack 6"        CN:1M/MS, 1G </t>
  </si>
  <si>
    <t>144/2oz</t>
  </si>
  <si>
    <t>LOS CABOS - 64150 OR EQUAL TO</t>
  </si>
  <si>
    <t>MEAT, MEXICAN, MAX SNACKS, TACO</t>
  </si>
  <si>
    <r>
      <rPr>
        <b/>
        <sz val="9"/>
        <color theme="1"/>
        <rFont val="Arial"/>
      </rPr>
      <t xml:space="preserve">TOTALLY TACO, WG   </t>
    </r>
    <r>
      <rPr>
        <sz val="9"/>
        <color theme="1"/>
        <rFont val="Arial"/>
      </rPr>
      <t>CN 2</t>
    </r>
    <r>
      <rPr>
        <b/>
        <sz val="9"/>
        <color theme="1"/>
        <rFont val="Arial"/>
      </rPr>
      <t xml:space="preserve"> </t>
    </r>
    <r>
      <rPr>
        <sz val="9"/>
        <color theme="1"/>
        <rFont val="Arial"/>
      </rPr>
      <t xml:space="preserve">M/MA-1.75 GRAINS  </t>
    </r>
    <r>
      <rPr>
        <b/>
        <sz val="9"/>
        <color theme="1"/>
        <rFont val="Arial"/>
      </rPr>
      <t xml:space="preserve">          </t>
    </r>
  </si>
  <si>
    <t>96/srv-3=4.09z</t>
  </si>
  <si>
    <t>CONAGRA - 77387-12714 or Equal To</t>
  </si>
  <si>
    <t>MEAT, PIZZA, BREAKFAST, BACON</t>
  </si>
  <si>
    <t>One 3.00oz. Whole Wheat Bacon Scramble Provides 1.00oz. Equivalent Meat Alternate and 1.50oz. Equivalent Grains for the Child Nutrition Meal Pattern Requirements.</t>
  </si>
  <si>
    <t>80/2.85oz</t>
  </si>
  <si>
    <t>NARDONE BROS # 80WBCA1</t>
  </si>
  <si>
    <t xml:space="preserve">Each 3oz srv.provides 1M/MA, 1.5 Grain                                                                   </t>
  </si>
  <si>
    <t>MEAT, PIZZA, BREAKFAST, SAUSAGE</t>
  </si>
  <si>
    <t>088606 – One 3.30oz. 3×5 Whole Wheat Sausage Breakfast Pizza Provides 1.00oz. Equivalent Meat/Meat Alternate, 1.50oz. Equivalent Grains, and 1/8 Cup Red/Orange Vegetable for the Child Nutrition Meal Pattern Requirements.</t>
  </si>
  <si>
    <t>80/3.2oz</t>
  </si>
  <si>
    <t>NARDONE BROS # 80WS100</t>
  </si>
  <si>
    <t xml:space="preserve">Each 3.3 oz serv. Must provide 1M/MA, 1.5Grain      </t>
  </si>
  <si>
    <t>MEAT, PIZZA, BAGEL</t>
  </si>
  <si>
    <t>WW Brk pizza bagel 100% mozz. sausage, bacon and egg</t>
  </si>
  <si>
    <t>96/3.22oz</t>
  </si>
  <si>
    <t>NARDONE BROS # 96WBR</t>
  </si>
  <si>
    <t xml:space="preserve">Each 3.22 oz = 1M/MA, 2 GRAIN                                          </t>
  </si>
  <si>
    <t>MEAT, PIZZA QUESADILLA</t>
  </si>
  <si>
    <t>Pizza Quesadilla, Chicken, WG, a blend of two cheeses, fajita chicken, and salsa.</t>
  </si>
  <si>
    <t>96/5oz</t>
  </si>
  <si>
    <t>THE MAX #77387-12700</t>
  </si>
  <si>
    <t xml:space="preserve">1 Quesadilla=2G, 2M/MA, 1/8 veg. 51%WG             </t>
  </si>
  <si>
    <t>MEAT, CHEESE BITES BULK</t>
  </si>
  <si>
    <t>Wild Mike's premium quality cheese bites (11003)  are fresh baked with 51% whole grain rich flour and filled with tasty mozzarella cheese the kids are sure to love.</t>
  </si>
  <si>
    <t>240/1OZ</t>
  </si>
  <si>
    <t>S&amp;A PIZZA- WILD MIKE'S # 11003 or Equal to</t>
  </si>
  <si>
    <t xml:space="preserve">Each cheese bite= .5 M/MA and .5 Grain </t>
  </si>
  <si>
    <t>OR 60srv of 4</t>
  </si>
  <si>
    <t>MEAT, PIZZA, 5" ROUND, CHEESE</t>
  </si>
  <si>
    <t>084357 – One 5.35oz. 5″ Round Whole Wheat Cheese Pizza Provides 2.00oz Equivalent Meat Alternate, 2.00oz. Equivalent Grains, and 1/8 Cup Red/Orange Vegetable for the Child Nutrition Meal Pattern Requirements.</t>
  </si>
  <si>
    <t>60/5.35oz</t>
  </si>
  <si>
    <t>NARDONE BROS # 5WRMNY2</t>
  </si>
  <si>
    <t xml:space="preserve">Each 5" pizza. Must provide 2M/MA, 2Grain, 1/8 red/orange    </t>
  </si>
  <si>
    <t>MEAT, PIZZA, 5" ROUND, PEPPERONI</t>
  </si>
  <si>
    <t>084359 – One 5.40oz. 5″ Round Whole Wheat Pepperoni Pizza Provides 2.00oz Equivalent Meat/Meat Alternate, 2.00oz. Equivalent Grains, and 1/8 Cup Red/Orange Vegetable for the Child Nutrition Meal Pattern Requirements.</t>
  </si>
  <si>
    <t>60/5.4oz</t>
  </si>
  <si>
    <t>NARDONE BROS # 5WRMP1NY2</t>
  </si>
  <si>
    <t xml:space="preserve">Each 5" pizza. Must provide 2M/MA, 2Grain, 1/8 red/orange </t>
  </si>
  <si>
    <t>MEAT, PIZZA, BUFFALO CHICKEN</t>
  </si>
  <si>
    <t xml:space="preserve">092953 – One 4.35oz. 4×6 Whole Wheat Buffalo Chicken Flatbread Provides 2.00oz. Equivalent Meat/Meat Alternate and 2.00oz. Equivalent Grains for the Child Nutrition Meal Pattern Requirements.                                                                                                                                  </t>
  </si>
  <si>
    <t>64/4.6oz</t>
  </si>
  <si>
    <t>NARDONE BROS # 64WPSBC</t>
  </si>
  <si>
    <t>MEAT, PIZZA,WG 4X6 CHEESE</t>
  </si>
  <si>
    <t>One 5.00oz. 4×6 Whole Wheat Cheese Pizza Provides 2.00oz. Equivalent Meat Alternate, 2.00oz. Equivalent Grains, and 1/8 Cup Red/Orange Vegetable for the Child Nutrition Meal Pattern Requirements.</t>
  </si>
  <si>
    <t>NARDONE BROS # 96WW2 4X6</t>
  </si>
  <si>
    <t xml:space="preserve">Each 5oz =2M/MA, 2Grain, 1/8c.Red/Orange veg.     </t>
  </si>
  <si>
    <t>MEAT, PIZZA, WG 4X6 PEPPERONI</t>
  </si>
  <si>
    <t>088114 – One 5.00oz. 4×6 Whole Wheat Pepperoni Pizza Provides 2.00oz. Equivalent Meat/Meat Alternate, 2.00oz. Equivalent Grains, and 1/8 Cup Red/Orange Vegetable for the Child Nutrition Meal Pattern Requirements.</t>
  </si>
  <si>
    <t>NARDONE BROS # 96WWP2 4X6</t>
  </si>
  <si>
    <t xml:space="preserve">Each 5oz serv= 2M/MA, 2Grain, 1/8c.Red/Orange veg.  </t>
  </si>
  <si>
    <t>MEAT, PIZZA, WG 4X6 SAUSAGE</t>
  </si>
  <si>
    <t>088598 – One 5.00oz. 4×6 Whole Wheat Sausage Pizza Provides 2.00oz. Equivalent Meat/Meat Alternate, 2.00oz. Equivalent Grains, and 1/8 Cup Red/Orange Vegetable for the Child Nutrition Meal Pattern Requirements.</t>
  </si>
  <si>
    <t>NARDONE BROS # 96WWS2 4X6</t>
  </si>
  <si>
    <t xml:space="preserve">Each 5 oz serv= 2M/MA, 2Grain, 1/8c.Red/Orange veg.   </t>
  </si>
  <si>
    <t>MEAT, PIZZA, FRENCH BRD PEP</t>
  </si>
  <si>
    <t>088267 – One 5.50oz. Whole Wheat French Bread Pepperoni Pizza Provides 2.00oz. Equivalent Meat/Meat Alternate, 2.00oz. Equivalent Grains, and 1/4 Cup Red/Orange Vegetable for the Child Nutrition Meal Pattern Requirements.</t>
  </si>
  <si>
    <t>60/5.5z</t>
  </si>
  <si>
    <t>NARDONE BROS # 60WUMP2</t>
  </si>
  <si>
    <t xml:space="preserve">Each 5.5 oz serv= 2M/MA, 2Grain, 1/4c.Red/Orange veg. </t>
  </si>
  <si>
    <t>MEAT, PORK RIB PATTY</t>
  </si>
  <si>
    <t>Fully cooked,flambroiled rib shaped pork pattie with honey BBQ sauce, 3.25oz</t>
  </si>
  <si>
    <t>100/3.25oz</t>
  </si>
  <si>
    <t>ADVANCE PIERRE # 3717</t>
  </si>
  <si>
    <t xml:space="preserve">1-3.25 oz Patty=2M/MA                              </t>
  </si>
  <si>
    <t>MEAT, TURKEY COINS</t>
  </si>
  <si>
    <t>All natural smoked turkey breast coins sliced= 1.75"</t>
  </si>
  <si>
    <t xml:space="preserve">6/2# bags </t>
  </si>
  <si>
    <t>JENNIO - #257412 or Equal To</t>
  </si>
  <si>
    <t>5slices=1M/MA        116 srv of 5 coins each</t>
  </si>
  <si>
    <t>per slice</t>
  </si>
  <si>
    <t>MEAT, TURKEY, BRST, STEAK</t>
  </si>
  <si>
    <t>Pre-sliced browned turkey breast steak slice  1.41 oz</t>
  </si>
  <si>
    <t xml:space="preserve">4/6.17# </t>
  </si>
  <si>
    <t>JENNIE-O    2303-24</t>
  </si>
  <si>
    <t xml:space="preserve">2-1.41 oz slices = 2oz M/MA     24.68#/140-2.82 oz                          </t>
  </si>
  <si>
    <t>MEAT, TURKEY, PASTRAMI</t>
  </si>
  <si>
    <t>Pastrami all natuarl, reduced sodium sliced turkey pastrami .5 oz slices</t>
  </si>
  <si>
    <t>12/1.5#</t>
  </si>
  <si>
    <t>JENNIE-O 263418</t>
  </si>
  <si>
    <t>3-.5oz slices = a 1oz M/MA            96-3oz srv or 192-1.5oz srv</t>
  </si>
  <si>
    <t>MEAT, TURKEY, PEPPERONI</t>
  </si>
  <si>
    <t>Sliced Pepperoni Style seasoned turkey, sliced 19slices = 1 oz M/MA</t>
  </si>
  <si>
    <t xml:space="preserve">8/2-2.5# </t>
  </si>
  <si>
    <t>JENNIE-O    2130-08 price per pound</t>
  </si>
  <si>
    <t xml:space="preserve">1.23 oz serving =1oz M/MA                </t>
  </si>
  <si>
    <t xml:space="preserve"> = 17.6</t>
  </si>
  <si>
    <t>MEAT, TURKEY, ITALIAN SLICED</t>
  </si>
  <si>
    <t>Sliced Italian Turkey Combo Pack, .5oz (4 Salami, 4 Ham, 4 Pepperoni)</t>
  </si>
  <si>
    <t xml:space="preserve">12/1# </t>
  </si>
  <si>
    <t>JENNIE-O     2096-12</t>
  </si>
  <si>
    <t xml:space="preserve">1.5oz = 1oz M/MA                         </t>
  </si>
  <si>
    <t>MEAT. TURKEY, MEDALLIONS</t>
  </si>
  <si>
    <t>Turkey Tenderloin Medallions hatched, raised, and harvested in the USA</t>
  </si>
  <si>
    <t>133/3.6oz srv</t>
  </si>
  <si>
    <t>BUTTERBALL - 22655 89209</t>
  </si>
  <si>
    <t>3.6oz=2M/MA</t>
  </si>
  <si>
    <t>MEAT, TURKEY, THIGH ROAST</t>
  </si>
  <si>
    <t>Turkey Thigh Roast, fulley cooked, turkey thigh roast, CN labeled</t>
  </si>
  <si>
    <t>80/3.58oz</t>
  </si>
  <si>
    <t>BUTTERBALL - 22655 89204</t>
  </si>
  <si>
    <t>3.58oz=2M/MA</t>
  </si>
  <si>
    <t>MEAT, UNCRUSTABLE, PB &amp;J, GRAPE</t>
  </si>
  <si>
    <t>Crustless peanut butter and jelly sandwich made with WG bread</t>
  </si>
  <si>
    <t>72/2.6z</t>
  </si>
  <si>
    <t>Smucker's Uncrustable -  6960</t>
  </si>
  <si>
    <r>
      <rPr>
        <sz val="9"/>
        <color theme="1"/>
        <rFont val="Arial"/>
      </rPr>
      <t xml:space="preserve">Grape Individually wrapper.        </t>
    </r>
    <r>
      <rPr>
        <b/>
        <sz val="9"/>
        <color theme="1"/>
        <rFont val="Arial"/>
      </rPr>
      <t xml:space="preserve">1M/MA,1 Grain   </t>
    </r>
    <r>
      <rPr>
        <sz val="9"/>
        <color theme="1"/>
        <rFont val="Arial"/>
      </rPr>
      <t xml:space="preserve"> </t>
    </r>
  </si>
  <si>
    <t xml:space="preserve">or Equal To  </t>
  </si>
  <si>
    <t>Grape Uncrustable -  6960</t>
  </si>
  <si>
    <t>Strawberry Uncrustable - 6961</t>
  </si>
  <si>
    <t>Honey Uncrustable - 6966</t>
  </si>
  <si>
    <t>Chocolate Uncrustable - 6968</t>
  </si>
  <si>
    <t>BREAD, BREADSTICK, CHEESE STFD</t>
  </si>
  <si>
    <t>WG, Reduced Fat Mozzarella Bosco Stick, Par-Baked</t>
  </si>
  <si>
    <t>144/4"</t>
  </si>
  <si>
    <t>BOSCO or Equal To</t>
  </si>
  <si>
    <t xml:space="preserve">4" Breadstick = 1/2 ozM/MA- 1 GRAIN                                                                 </t>
  </si>
  <si>
    <t>BOSCO-17031141120</t>
  </si>
  <si>
    <t xml:space="preserve">6" Breadstick = 1 ozM/MA- 1 GRAIN                             </t>
  </si>
  <si>
    <t>144/6"</t>
  </si>
  <si>
    <t>BOSCO- 17020111120</t>
  </si>
  <si>
    <t>FRUIT, DRY, APPLESAUCE CUP</t>
  </si>
  <si>
    <t xml:space="preserve">Shelf stable applesauce cups must provide ½ cup fruit equivalent under the NSLP guidelines. Individual servings must be a minimum of 4.5 oz net weight. Cups must be shelf stable in dry storage for 18 months. Must be made in a nut-free facility. Flavors to include Original, Cinnamon, Strawberry, Strawberry Banana, Blue Raspberry, Mixed Fruit, Watermelon, Cherry, Blueberry, Birthday Cake, and Sour Apple. Sweetened with real sugar. Product contains zero grams fat, 100% Vitamin C and must not contain HFCS. Made with 100% domestically grown fruit. </t>
  </si>
  <si>
    <t>96/4.5Z</t>
  </si>
  <si>
    <t>Acceptable Brand: National Food Group/Zee Zees or equal to.</t>
  </si>
  <si>
    <t>NATLFD - Bithday Cake A3800</t>
  </si>
  <si>
    <t>NATLFD - Cinnamon A1510</t>
  </si>
  <si>
    <t>NATLFD - Original A1500</t>
  </si>
  <si>
    <t>NATLFD - Rock'n Blue Raspberry A3530</t>
  </si>
  <si>
    <t>NATLFD - Super Sour Apple A3540</t>
  </si>
  <si>
    <t>NATLFD - Strawberry A1490</t>
  </si>
  <si>
    <t>NATLFD - Cherry A1525</t>
  </si>
  <si>
    <t>NATLFD -Mango/ Peach A3810</t>
  </si>
  <si>
    <t>NATLFD -Strawberry/ Banana A3790</t>
  </si>
  <si>
    <t>NATLFD - Watermelon A3510</t>
  </si>
  <si>
    <t xml:space="preserve">or Equal To </t>
  </si>
  <si>
    <t>VEG. DRY, TOMATO CRUSHED</t>
  </si>
  <si>
    <t>Redpack concentrated crushed all purpose tomatoes</t>
  </si>
  <si>
    <t>6/#10</t>
  </si>
  <si>
    <t>Red Gold/Redpack -81400 or RPKDX99</t>
  </si>
  <si>
    <t>ALL PURPOSE, Minimum drained weight of 63.5 oz/ can</t>
  </si>
  <si>
    <t xml:space="preserve">1oz srv = 1/4 cup red/orange vegetable credit         </t>
  </si>
  <si>
    <t>VEG. DRY, TOMATO DICED</t>
  </si>
  <si>
    <t>Tomatoes, canned , diced, peeled.  Grade B, Min. drained weight of</t>
  </si>
  <si>
    <t xml:space="preserve">RED GOLD OR EQUAL TO </t>
  </si>
  <si>
    <t xml:space="preserve"> 63.5 oz/ #10 can</t>
  </si>
  <si>
    <t>VEG. DRY, TOMATO KETCHUP</t>
  </si>
  <si>
    <t xml:space="preserve">Red Gold 100% Natural ketchup made with sugar LS </t>
  </si>
  <si>
    <t>RED GOLD</t>
  </si>
  <si>
    <t xml:space="preserve">VEG. DRY, TOMATO MARINARA                                                                                    </t>
  </si>
  <si>
    <t xml:space="preserve">Redpack nutritionally enhanced marinara sauce with rich red pieces of tomatoes overlaid with puree and blended with spices.  70% lower in sodium. 2oz srv = 1/4 c. red/orange veg. srv.   </t>
  </si>
  <si>
    <t>RED GOLD/REDPACK-82206/RPKNA9E</t>
  </si>
  <si>
    <t>2z COST</t>
  </si>
  <si>
    <t xml:space="preserve">VEG. DRY, TOMATO MARINARA                                                                                   </t>
  </si>
  <si>
    <t>Redpack nutritionally enhanced marinara sauce with rich red pieces of tomatoes overlaid with puree and blended with spices. 70% lower in sodium.</t>
  </si>
  <si>
    <t>168/2.5Z</t>
  </si>
  <si>
    <t>REDGLD - 82207 - REDNA2ZC168</t>
  </si>
  <si>
    <t>VEG. DRY, TOMATO SALSA</t>
  </si>
  <si>
    <t xml:space="preserve">Nutritionally enhanced salsa-mild, LS, with a tasty blend of tomatoes with jalapenos, </t>
  </si>
  <si>
    <t>RED GOLD-11005/REDSC99</t>
  </si>
  <si>
    <t xml:space="preserve"> onion, garlic and spices, enriched with Vitamin A, C and E.                         </t>
  </si>
  <si>
    <t xml:space="preserve">2oz srv = 1/4 c. red/orange veg. srv.                                     </t>
  </si>
  <si>
    <t>VEG. DRY, TOMATO SAUCE</t>
  </si>
  <si>
    <t>Redpack tomato sauce, Grade B, Minimum drained weight of 63.5 oz/ can</t>
  </si>
  <si>
    <t>REDGOLD-81800 or RPKHA99</t>
  </si>
  <si>
    <t>VEG. FROZEN, POTATO SEASONED</t>
  </si>
  <si>
    <t>Crispy bakeable crinkle fries 1/2"</t>
  </si>
  <si>
    <t>MCCAIN # 1000007470</t>
  </si>
  <si>
    <t xml:space="preserve">224.29 srv per cs, 2.68 oz srv=1/2 cup starchy veg.             </t>
  </si>
  <si>
    <t>VEG. FROZEN, POTATO SMILES</t>
  </si>
  <si>
    <t xml:space="preserve">McCain Smiles Crispy mashed potato shaped product. </t>
  </si>
  <si>
    <t>6/4#</t>
  </si>
  <si>
    <t>MCCAIN SMILES # OIF03456</t>
  </si>
  <si>
    <t>4 smiles= 1/2c. Starchy veg.                      159.6 srv of 4</t>
  </si>
  <si>
    <t>FRUIT, FRESH, APPLE SLICES</t>
  </si>
  <si>
    <t xml:space="preserve">Apples Fresh Sliced-                  </t>
  </si>
  <si>
    <t>100/2OZ</t>
  </si>
  <si>
    <t xml:space="preserve">NOI
</t>
  </si>
  <si>
    <t>APPLE SLICES PKG - USA-</t>
  </si>
  <si>
    <t>RICHLAND HILLS FARMS #10755276201251</t>
  </si>
  <si>
    <t xml:space="preserve">SUNDRY, CONDIMENT, KETCHUP </t>
  </si>
  <si>
    <t xml:space="preserve">Red Gold 9 gram portion control packets 100% Natural ketchup made with sugar LS </t>
  </si>
  <si>
    <t>1000/9GM</t>
  </si>
  <si>
    <t>RED GOLD  11584/REDYL9G</t>
  </si>
  <si>
    <t>MEAT/MEAT ALTERNATIVES</t>
  </si>
  <si>
    <t>MEAT, BEEF, GROUND FINE 81/19</t>
  </si>
  <si>
    <r>
      <rPr>
        <sz val="9"/>
        <color theme="1"/>
        <rFont val="Arial"/>
      </rPr>
      <t xml:space="preserve">FRESH OR FROZEN, RAW GROUND BEEF   </t>
    </r>
    <r>
      <rPr>
        <sz val="9"/>
        <color rgb="FFFF0000"/>
        <rFont val="Arial"/>
      </rPr>
      <t>(Commodity Processed)</t>
    </r>
  </si>
  <si>
    <t>12/5#</t>
  </si>
  <si>
    <t>SCHUSTER MEAT CORP. #00423632010003</t>
  </si>
  <si>
    <t>POUND</t>
  </si>
  <si>
    <t xml:space="preserve">We would really like to keep the 5# packaging if at all possible.      </t>
  </si>
  <si>
    <t>Market</t>
  </si>
  <si>
    <t>MEAT, BEEF MEATBALLS</t>
  </si>
  <si>
    <t>Fully cooked, all meat, beef meatballs with seasoning.  CN labeled.</t>
  </si>
  <si>
    <t>ADVANCE PIERRE 17-505-0 CN</t>
  </si>
  <si>
    <t xml:space="preserve">CN label 5meatballs = 2oz M/MA                                                                   </t>
  </si>
  <si>
    <t>PER SRV.</t>
  </si>
  <si>
    <t>MEAT, BEEF RAVIOLI, SCHOOL PACK</t>
  </si>
  <si>
    <t>Beef filled ravioli in meat sauce.</t>
  </si>
  <si>
    <t>Chef Boyardee 64144-81080</t>
  </si>
  <si>
    <r>
      <rPr>
        <sz val="9"/>
        <color theme="1"/>
        <rFont val="Arial"/>
      </rPr>
      <t xml:space="preserve">8 pies provides 2 M/Ma, 3/8c veg.    </t>
    </r>
    <r>
      <rPr>
        <b/>
        <sz val="9"/>
        <color theme="1"/>
        <rFont val="Arial"/>
      </rPr>
      <t xml:space="preserve">                                                                                                    </t>
    </r>
  </si>
  <si>
    <t>(CN LABELED) or Equal To</t>
  </si>
  <si>
    <t>MEAT. BREAKFAST ON A STICK, TURKEY</t>
  </si>
  <si>
    <t>IW/WG Original Pancake &amp; Turkey Sausage Breakfast Sticks</t>
  </si>
  <si>
    <t>40/2.51oz</t>
  </si>
  <si>
    <t>Jimmy Dean # 70613 or equal to</t>
  </si>
  <si>
    <t>$ -</t>
  </si>
  <si>
    <t xml:space="preserve">Cn label---1 oz M/ 1 oz Grain                                                                    </t>
  </si>
  <si>
    <t>Note:students do not like Foster Farms</t>
  </si>
  <si>
    <t>MEAT. BREAKFAST ON A STICK,PORK</t>
  </si>
  <si>
    <t>IW/WG Original Pancake &amp; Pork Sausage Breakfast Sticks</t>
  </si>
  <si>
    <t>48/2.51oz</t>
  </si>
  <si>
    <t>Jimmy Dean # 19008 or equal to</t>
  </si>
  <si>
    <t xml:space="preserve">Cn label---1 oz M/ 1 oz Grain                                                                </t>
  </si>
  <si>
    <t>MEAT, BREAKFAST, TACO, EGG</t>
  </si>
  <si>
    <t>Egg and cheese rolled tacos</t>
  </si>
  <si>
    <t>50/2.5oz</t>
  </si>
  <si>
    <t>EL MONTEREY 41096</t>
  </si>
  <si>
    <t xml:space="preserve">CN Label 1oz M/MA  1oz Grain                                                         </t>
  </si>
  <si>
    <t>MEAT, BREAKFAST, TACO, SAUS.</t>
  </si>
  <si>
    <t>Egg, cheese, potatoes and turkey sausage rolled tacos</t>
  </si>
  <si>
    <t>EL MONTEREY 41525</t>
  </si>
  <si>
    <t xml:space="preserve">CN Label 1oz M/MA  1oz Grain                                                                           </t>
  </si>
  <si>
    <t>MEAT, CHEESE COTTAGE</t>
  </si>
  <si>
    <r>
      <rPr>
        <sz val="9"/>
        <color theme="1"/>
        <rFont val="Arial"/>
      </rPr>
      <t xml:space="preserve">Low Fat Cottage Cheese - </t>
    </r>
    <r>
      <rPr>
        <b/>
        <sz val="9"/>
        <color theme="1"/>
        <rFont val="Arial"/>
      </rPr>
      <t xml:space="preserve">                               </t>
    </r>
  </si>
  <si>
    <t>Distributor Choice</t>
  </si>
  <si>
    <t xml:space="preserve">1/2 cup serving = 2oz M/MA                                                                                   </t>
  </si>
  <si>
    <t>COUNTRY FRESH</t>
  </si>
  <si>
    <t>MEAT, CHEESE CREAM LOAF</t>
  </si>
  <si>
    <t xml:space="preserve">Cream cheese loaf                                                                                                                  </t>
  </si>
  <si>
    <t>3# LOAF</t>
  </si>
  <si>
    <t>MEAT, CHEESE PARMESAN</t>
  </si>
  <si>
    <t xml:space="preserve">Cheese grated 100% parmesan                                                                                                 </t>
  </si>
  <si>
    <t>5# BAG</t>
  </si>
  <si>
    <t>Distributor Choice- PACKER</t>
  </si>
  <si>
    <t>MEAT, CHICKEN, CORNDOG  L.FAT.</t>
  </si>
  <si>
    <t>Chicken Frankfurter,no fillers, binders, extenders, or non-fat milk,  2 M/MA - 2 G</t>
  </si>
  <si>
    <t>72/4 OZ</t>
  </si>
  <si>
    <t>Foster Farms 95150 or Equal To</t>
  </si>
  <si>
    <r>
      <rPr>
        <sz val="9"/>
        <color theme="1"/>
        <rFont val="Arial"/>
      </rPr>
      <t xml:space="preserve">100% whole grain, honey batter, fully cooked.  </t>
    </r>
    <r>
      <rPr>
        <b/>
        <sz val="9"/>
        <color theme="1"/>
        <rFont val="Arial"/>
      </rPr>
      <t xml:space="preserve">                                                                             </t>
    </r>
  </si>
  <si>
    <t>MEAT, CHICKEN POP DOGS</t>
  </si>
  <si>
    <t xml:space="preserve">WG batter wrapped mini chickn franks </t>
  </si>
  <si>
    <t>2/5# BAGS</t>
  </si>
  <si>
    <t>Foster Farms 96086</t>
  </si>
  <si>
    <t>6-.67oz pops =2M/MA and 2 grain  (40-SRV OF 6-.67oz pops)</t>
  </si>
  <si>
    <t>MEAT, EGGS, FRESH</t>
  </si>
  <si>
    <t xml:space="preserve">EGGS *CTN* MEDIUM GRADE A                                                                                            </t>
  </si>
  <si>
    <t>15 DOZEN</t>
  </si>
  <si>
    <t>DISTRIBUTORS CHOICE -
PEARL VALLEY # 7310</t>
  </si>
  <si>
    <t>PER DZN</t>
  </si>
  <si>
    <t>MEAT, MEXICAN, TACO CHICKEN</t>
  </si>
  <si>
    <t>Soft tacos-chicken soft taco with red sauce.</t>
  </si>
  <si>
    <t>45/5.12 OZ</t>
  </si>
  <si>
    <t>RUIZ FOODS 41468 or Equal To</t>
  </si>
  <si>
    <t xml:space="preserve">Each 5.12 oz taco = 2M/MA and 2 Grain     </t>
  </si>
  <si>
    <t>MEAT, NUT, SUNFLOWER SEEDS</t>
  </si>
  <si>
    <r>
      <rPr>
        <sz val="9"/>
        <color rgb="FF000000"/>
        <rFont val="Arial"/>
      </rPr>
      <t xml:space="preserve">Sunflower Seeds Honey Roasted      </t>
    </r>
    <r>
      <rPr>
        <b/>
        <sz val="9"/>
        <color rgb="FF000000"/>
        <rFont val="Arial"/>
      </rPr>
      <t>CN: 1/1oz pack = 1M/MA</t>
    </r>
    <r>
      <rPr>
        <sz val="9"/>
        <color rgb="FF000000"/>
        <rFont val="Arial"/>
      </rPr>
      <t xml:space="preserve">        </t>
    </r>
  </si>
  <si>
    <t xml:space="preserve">150/1oz  </t>
  </si>
  <si>
    <t xml:space="preserve">AZAR # 7220210 OR EQUAL TO </t>
  </si>
  <si>
    <r>
      <rPr>
        <sz val="9"/>
        <color rgb="FF000000"/>
        <rFont val="Arial"/>
      </rPr>
      <t xml:space="preserve">Sunflower Seeds Roasted Salted        </t>
    </r>
    <r>
      <rPr>
        <b/>
        <sz val="9"/>
        <color rgb="FF000000"/>
        <rFont val="Arial"/>
      </rPr>
      <t>CN: 1/1oz pack = 1M/MA</t>
    </r>
    <r>
      <rPr>
        <sz val="9"/>
        <color rgb="FF000000"/>
        <rFont val="Arial"/>
      </rPr>
      <t xml:space="preserve">    </t>
    </r>
  </si>
  <si>
    <t>150/1oz</t>
  </si>
  <si>
    <t>AZAR # 7220010 OR EQUAL TO</t>
  </si>
  <si>
    <t>MEAT, PIZZA, PEPPORONI CALZONE</t>
  </si>
  <si>
    <t xml:space="preserve">Pepperoni and cheese calzone                            </t>
  </si>
  <si>
    <t>80/5 OZ</t>
  </si>
  <si>
    <t>S&amp;F Foods 211BC</t>
  </si>
  <si>
    <t>MEAT, PORK, BACON</t>
  </si>
  <si>
    <t xml:space="preserve">Bacon HRI slice  18/22            </t>
  </si>
  <si>
    <t>15# CS</t>
  </si>
  <si>
    <t>Farmland - 123900</t>
  </si>
  <si>
    <t>MEAT, PORK HAM SLICED, LS</t>
  </si>
  <si>
    <t>Healthy Ones- Smoked Sliced L/Sodium VIRGINIA BRAND HAM</t>
  </si>
  <si>
    <t>6/2# PACKS</t>
  </si>
  <si>
    <t xml:space="preserve">ARMOUR-ECKRICH/HEALTHY - </t>
  </si>
  <si>
    <r>
      <rPr>
        <b/>
        <sz val="9"/>
        <color theme="1"/>
        <rFont val="Arial"/>
      </rPr>
      <t xml:space="preserve">Needing CN Label         </t>
    </r>
    <r>
      <rPr>
        <sz val="9"/>
        <color theme="1"/>
        <rFont val="Arial"/>
      </rPr>
      <t xml:space="preserve">                                    </t>
    </r>
  </si>
  <si>
    <t>30900-32588 or Equal To</t>
  </si>
  <si>
    <t>MEAT, PORK, SAUSAGE CRUMBLES</t>
  </si>
  <si>
    <t xml:space="preserve">Pre-cooked pork sausage crumbles for breakfast gravy, </t>
  </si>
  <si>
    <t xml:space="preserve">20# </t>
  </si>
  <si>
    <t>Burke- 55716 0115 or Equal To</t>
  </si>
  <si>
    <t>per lb</t>
  </si>
  <si>
    <t>MEAT, PORK, SAUSAGE LINK</t>
  </si>
  <si>
    <t>All Natural, Low Sodium 1oz pork sausage link.</t>
  </si>
  <si>
    <t>10#=160/1 OZ</t>
  </si>
  <si>
    <t>JONES-018514 or Equal To</t>
  </si>
  <si>
    <t>MEAT, PORK, SAUSAGE PATTY</t>
  </si>
  <si>
    <t>All Natural, Low Sodium 1oz pork sausage patty</t>
  </si>
  <si>
    <t>JONES-018715 or Equal To</t>
  </si>
  <si>
    <t>MEAT, PORK, SNACK STICKS</t>
  </si>
  <si>
    <t>Westerns Smokehouse smart choice snack sticks- 1Snack Stick=.75M/MA</t>
  </si>
  <si>
    <t>Western's or Equal To</t>
  </si>
  <si>
    <t xml:space="preserve">Box 24 </t>
  </si>
  <si>
    <t>Original #</t>
  </si>
  <si>
    <t>BOX</t>
  </si>
  <si>
    <t>BBQ # 824906 00002-9</t>
  </si>
  <si>
    <t>Jalapeno # 824906 00003-8</t>
  </si>
  <si>
    <t>Hickory Smoked # 824906 00004-7</t>
  </si>
  <si>
    <t>Sweet &amp; Sassy # 824906 00005-6</t>
  </si>
  <si>
    <t>MEAT, SEAFOOD, FISH FILLET</t>
  </si>
  <si>
    <t>AK POLLOCK,WG, OVEN READY, PRE-COOKED FISH RECTANGLE</t>
  </si>
  <si>
    <t>10# -44/3.6oz</t>
  </si>
  <si>
    <t>HIGHLINER- 26373</t>
  </si>
  <si>
    <r>
      <rPr>
        <b/>
        <sz val="9"/>
        <color theme="1"/>
        <rFont val="Arial"/>
      </rPr>
      <t xml:space="preserve">1-3.6oz patty= 2M/MA, 1 Grain    </t>
    </r>
    <r>
      <rPr>
        <sz val="9"/>
        <color theme="1"/>
        <rFont val="Arial"/>
      </rPr>
      <t xml:space="preserve">            </t>
    </r>
  </si>
  <si>
    <t>MEAT, SEAFOOD, FISH STICKS</t>
  </si>
  <si>
    <t>AK POLLOCK, WG, OVEN READY PRE-COOKED FISH STICKS</t>
  </si>
  <si>
    <t>2/5# 40srv/4@</t>
  </si>
  <si>
    <t>HIGHLINER-26240</t>
  </si>
  <si>
    <t xml:space="preserve">4 sticks = 2M/MA, 1.5 Grain    </t>
  </si>
  <si>
    <t>MEAT, TURKEY, FRANKS</t>
  </si>
  <si>
    <r>
      <rPr>
        <sz val="9"/>
        <color theme="1"/>
        <rFont val="Arial"/>
      </rPr>
      <t xml:space="preserve">Fully cooked 6" smoked turkey franks,                           CN labeled  2M/MA </t>
    </r>
    <r>
      <rPr>
        <b/>
        <sz val="9"/>
        <color theme="1"/>
        <rFont val="Arial"/>
      </rPr>
      <t xml:space="preserve"> 80each</t>
    </r>
  </si>
  <si>
    <t>2/5# cs</t>
  </si>
  <si>
    <t xml:space="preserve">BRIARS - 16751 CN </t>
  </si>
  <si>
    <t xml:space="preserve">Less than 12 grams of fat per 2 oz. frank.  No added skin, no filler, no cereals, </t>
  </si>
  <si>
    <t xml:space="preserve">no artificial flavors or colors.  Will not turn green or brown when cooked.    </t>
  </si>
  <si>
    <t>MEAT, TURKEY, SMOKED SLICED, LS</t>
  </si>
  <si>
    <t>Healthy Ones- Smoked Sliced L/Sodium Turkey Breast</t>
  </si>
  <si>
    <t>ARMOUR-ECKRICH/HEALTHY - 2294</t>
  </si>
  <si>
    <t>MEAT, YOGURT GREEK, BULK</t>
  </si>
  <si>
    <t xml:space="preserve">YOGURT, GREEK HONEY VANILLA, BULK                         </t>
  </si>
  <si>
    <t>3/4#</t>
  </si>
  <si>
    <t>YOPLAIT GREEK YOGURT  - 41167000</t>
  </si>
  <si>
    <t>MEAT, YOGURT PLAIN, BULK</t>
  </si>
  <si>
    <t xml:space="preserve">YOGURT, PLAIN FAT FREE BULK                                      </t>
  </si>
  <si>
    <t>DISTRIBUTORS CHOICE PLAIN YOGURT</t>
  </si>
  <si>
    <t>BULK</t>
  </si>
  <si>
    <t xml:space="preserve">MEAT, YOGURT, PORTION PACKS                 </t>
  </si>
  <si>
    <t>Lowfat yogurt, meet National Yogurt Assoc criteria for live and active yogurt cultures.</t>
  </si>
  <si>
    <t>DANNON - Danimals/YOPLAIT or Equal To</t>
  </si>
  <si>
    <t>48/4Z</t>
  </si>
  <si>
    <t>STRAWBERRY - 2731</t>
  </si>
  <si>
    <t>STRAWBERRY BANANA - 2732</t>
  </si>
  <si>
    <t>VANILLA - 2733</t>
  </si>
  <si>
    <t>VANILLA SMOOTH- 15676</t>
  </si>
  <si>
    <t>STRAWBERRY SMOOTH - 15677</t>
  </si>
  <si>
    <t>HORCHATA SMOOTH - 15675</t>
  </si>
  <si>
    <t xml:space="preserve">                                                                                 MEAT/MEAT ALTERNATIVES SUB-TOTAL</t>
  </si>
  <si>
    <t>GRAIN/BREADS</t>
  </si>
  <si>
    <t>BREAD, BAGEL, MINI STRAWBERRY</t>
  </si>
  <si>
    <t>Pillsbury strawberry mini bagels, individually wrapped, with cream cheese filling</t>
  </si>
  <si>
    <t>72/2.43 oz</t>
  </si>
  <si>
    <t>Strawberry Cream Cheese -384136</t>
  </si>
  <si>
    <t>BREAD, BAGEL, MINI CINNAMON</t>
  </si>
  <si>
    <t>Pillsbury cinnamon mini bagels, individually wrapped, with cream cheese filling</t>
  </si>
  <si>
    <t>Cinnamon Cream Cheese- 383993</t>
  </si>
  <si>
    <t>PILLSBURY or Equal To</t>
  </si>
  <si>
    <t xml:space="preserve">BREAD, BISCUIT DOUGH, SPLIT TOP </t>
  </si>
  <si>
    <t xml:space="preserve">Frozen, raw biscuit dough, easy split, southern style, lower sodium.  2.51oz  </t>
  </si>
  <si>
    <t xml:space="preserve"> 216/2.51oz</t>
  </si>
  <si>
    <t xml:space="preserve">Pillsbury # 10752 or Equal To </t>
  </si>
  <si>
    <t xml:space="preserve">(420mg sodium) Product Statement: 1-2.51oz biscuit = 2 oz Grain                </t>
  </si>
  <si>
    <t>BREAD, BREADSTICK, WHITE W.W.</t>
  </si>
  <si>
    <t>Wheat garlic breadsticks made with whole grain</t>
  </si>
  <si>
    <t>168/1.3Z</t>
  </si>
  <si>
    <t>MARZETTI # 15021</t>
  </si>
  <si>
    <t xml:space="preserve">1-36 gram breadstick=1oz grain equivalent                                             </t>
  </si>
  <si>
    <t xml:space="preserve"> or Equal To</t>
  </si>
  <si>
    <t>BREAD, BREAKFAST, FROZEN BAR, CIN TST CR</t>
  </si>
  <si>
    <t>Pillsbury frozen soft bar filled with cinnamon Neufchatel cheese, ind. Wrapped</t>
  </si>
  <si>
    <t>72/2.36oz</t>
  </si>
  <si>
    <t>PILLSBURY # 018000109781</t>
  </si>
  <si>
    <t xml:space="preserve">1-2.36oz bar= 2oz Grain Eq.                                                                 </t>
  </si>
  <si>
    <t>BREAD, BREAKFAST, FROZEN BAR, COCOA PUFFS</t>
  </si>
  <si>
    <t>Pillsbury frozen soft bar filled with chocolatey Neufchatel cheese, ind. Wrapped</t>
  </si>
  <si>
    <t>72/2.43oz</t>
  </si>
  <si>
    <t>PILLSBURY # 018000110329</t>
  </si>
  <si>
    <t xml:space="preserve">1-2.43oz bar= 2oz Grain Eq.                                                     </t>
  </si>
  <si>
    <t>BREAD, BRK, BREAKFAST BUN</t>
  </si>
  <si>
    <r>
      <rPr>
        <sz val="9"/>
        <color theme="1"/>
        <rFont val="Arial"/>
      </rPr>
      <t xml:space="preserve">Whole Grain, RF, Fortified IW Breakfast Bun,   </t>
    </r>
    <r>
      <rPr>
        <b/>
        <sz val="9"/>
        <color theme="1"/>
        <rFont val="Arial"/>
      </rPr>
      <t>1bun = 2oz grain equivalent</t>
    </r>
  </si>
  <si>
    <t>60/3oz.</t>
  </si>
  <si>
    <t>BAKE CRAFTERS 2003 or Equal To</t>
  </si>
  <si>
    <t>BREAD,  BRK, FRENCH TOAST STICKS</t>
  </si>
  <si>
    <t xml:space="preserve">Fully prepared and individually frozen whole grain batter dipped french toast sticks </t>
  </si>
  <si>
    <t xml:space="preserve">2/5# </t>
  </si>
  <si>
    <t>BAKE CRAFTERS # 442</t>
  </si>
  <si>
    <t xml:space="preserve">3 Stick = 2.25 oz Grain Equivalent                                                                       </t>
  </si>
  <si>
    <t>47.667-SRV OF 3</t>
  </si>
  <si>
    <t>3 PER SRV</t>
  </si>
  <si>
    <t>BREAD, BRK, MINI CINNIS</t>
  </si>
  <si>
    <t xml:space="preserve">WG Mini pull apart cinnamon rolls, cinnamon filling on inside for no mess eating, </t>
  </si>
  <si>
    <t>72/2.29 oz</t>
  </si>
  <si>
    <t>PILLSBURY   -33686-6</t>
  </si>
  <si>
    <t>individually wrapped ovenable packages, pre-baked frozen.</t>
  </si>
  <si>
    <t xml:space="preserve">1 Mini Cinni = 2oz Grain Equivalent                                                             </t>
  </si>
  <si>
    <t>BREAD, BRK, PANCAKES WG</t>
  </si>
  <si>
    <t xml:space="preserve">Fully prepared and individually frozen whole grain pancakes </t>
  </si>
  <si>
    <t>144/1.14 oz</t>
  </si>
  <si>
    <t>PINNACLE, AUNT JEMIMA- 43582</t>
  </si>
  <si>
    <t xml:space="preserve">1 pancake= 1 oz grain equivalent                                                </t>
  </si>
  <si>
    <t>2 @</t>
  </si>
  <si>
    <t>BREAD, BRK,  POPTART</t>
  </si>
  <si>
    <t xml:space="preserve">POPTART                                                                                      </t>
  </si>
  <si>
    <t xml:space="preserve">120/1CT </t>
  </si>
  <si>
    <t>Kellogg's or Equal To</t>
  </si>
  <si>
    <r>
      <rPr>
        <sz val="9"/>
        <color theme="1"/>
        <rFont val="Arial"/>
      </rPr>
      <t>Poptart made with WG frosted cinnamon,WG first ingredient =</t>
    </r>
    <r>
      <rPr>
        <b/>
        <sz val="9"/>
        <color theme="1"/>
        <rFont val="Arial"/>
      </rPr>
      <t>1.25ozgrain equivalent</t>
    </r>
  </si>
  <si>
    <t>KELLOGG'S Cinnamon - 55122</t>
  </si>
  <si>
    <r>
      <rPr>
        <sz val="9"/>
        <color theme="1"/>
        <rFont val="Arial"/>
      </rPr>
      <t>Poptart made with WG frostedstrawberry,WG first ingredient =</t>
    </r>
    <r>
      <rPr>
        <b/>
        <sz val="9"/>
        <color theme="1"/>
        <rFont val="Arial"/>
      </rPr>
      <t>1oz grain equivalent</t>
    </r>
  </si>
  <si>
    <t>KELLOGG'S Strawberry- 55130</t>
  </si>
  <si>
    <r>
      <rPr>
        <sz val="9"/>
        <color theme="1"/>
        <rFont val="Arial"/>
      </rPr>
      <t>Poptart made with WG frosted fudge, WG first ingredient=</t>
    </r>
    <r>
      <rPr>
        <b/>
        <sz val="9"/>
        <color theme="1"/>
        <rFont val="Arial"/>
      </rPr>
      <t>1.25oz grain</t>
    </r>
    <r>
      <rPr>
        <sz val="9"/>
        <color theme="1"/>
        <rFont val="Arial"/>
      </rPr>
      <t xml:space="preserve">  </t>
    </r>
  </si>
  <si>
    <t>KELLOGG'S Chocolate - 12070</t>
  </si>
  <si>
    <r>
      <rPr>
        <sz val="9"/>
        <color theme="1"/>
        <rFont val="Arial"/>
      </rPr>
      <t>Poptart made with WG blueberry,WG first ingredent=</t>
    </r>
    <r>
      <rPr>
        <b/>
        <sz val="9"/>
        <color theme="1"/>
        <rFont val="Arial"/>
      </rPr>
      <t>1.25oz grain</t>
    </r>
    <r>
      <rPr>
        <sz val="9"/>
        <color theme="1"/>
        <rFont val="Arial"/>
      </rPr>
      <t xml:space="preserve"> </t>
    </r>
  </si>
  <si>
    <t>KELLOGG'S Blueberry- 17196</t>
  </si>
  <si>
    <t xml:space="preserve">BREAD, SCONE, MIXED BERRY </t>
  </si>
  <si>
    <t xml:space="preserve">Delicious WG rich mixed berry flavored scone dough, offered in a unique, per-cut </t>
  </si>
  <si>
    <t>108/1ct</t>
  </si>
  <si>
    <t>Rich's # 21411</t>
  </si>
  <si>
    <r>
      <rPr>
        <sz val="9"/>
        <color theme="1"/>
        <rFont val="Arial"/>
      </rPr>
      <t xml:space="preserve">triangle shipe.  </t>
    </r>
    <r>
      <rPr>
        <b/>
        <sz val="9"/>
        <color theme="1"/>
        <rFont val="Arial"/>
      </rPr>
      <t>1 scone 2.5oz =2 grain</t>
    </r>
  </si>
  <si>
    <t>BREAD, SCONE, CIN. CHIP</t>
  </si>
  <si>
    <t>Delicious whole grain rich cinnamon chip scone dough, offered in a unique, pre-cut</t>
  </si>
  <si>
    <t>Rich's # 21410</t>
  </si>
  <si>
    <r>
      <rPr>
        <sz val="9"/>
        <color theme="1"/>
        <rFont val="Arial"/>
      </rPr>
      <t xml:space="preserve">triangle shape.  </t>
    </r>
    <r>
      <rPr>
        <b/>
        <sz val="9"/>
        <color theme="1"/>
        <rFont val="Arial"/>
      </rPr>
      <t>1 scone 2.5oz -2 grain</t>
    </r>
    <r>
      <rPr>
        <sz val="9"/>
        <color theme="1"/>
        <rFont val="Arial"/>
      </rPr>
      <t xml:space="preserve">  </t>
    </r>
  </si>
  <si>
    <t>BREAD, BRK, WAFFLES, WG</t>
  </si>
  <si>
    <t>Fully prepared and individually frozen whole grain waffle</t>
  </si>
  <si>
    <t>144/1.4oz</t>
  </si>
  <si>
    <t>CON AGRA/KRUSTEAZ # 40321</t>
  </si>
  <si>
    <t xml:space="preserve">2 waffles = 2.25 oz grain equivalent                                   </t>
  </si>
  <si>
    <t>BREAD, BRK, WAFFLES DUTCH, WG</t>
  </si>
  <si>
    <t>Fully prepared and individually frozen whole grain Dutch Waffles</t>
  </si>
  <si>
    <t>48/2.86Z=5"waf</t>
  </si>
  <si>
    <t>J&amp;J # 4521</t>
  </si>
  <si>
    <t xml:space="preserve">1 Dutch waffle = 2 oz grain equivalent                                                                    </t>
  </si>
  <si>
    <t>1 @</t>
  </si>
  <si>
    <t>BREAD, HUSH PUPPY, CORN</t>
  </si>
  <si>
    <r>
      <rPr>
        <sz val="9"/>
        <color theme="1"/>
        <rFont val="Arial"/>
      </rPr>
      <t xml:space="preserve">SC whole Grain Sweet Corn Hushpuppy    </t>
    </r>
    <r>
      <rPr>
        <b/>
        <sz val="9"/>
        <color theme="1"/>
        <rFont val="Arial"/>
      </rPr>
      <t xml:space="preserve">CN 2=1 GRAIN- 130.5 SRV OF 2        </t>
    </r>
  </si>
  <si>
    <t>2/5#</t>
  </si>
  <si>
    <t>SAVANNA CLASSICS # 10020 or equal</t>
  </si>
  <si>
    <t>BREAD, CIABATTA</t>
  </si>
  <si>
    <r>
      <rPr>
        <sz val="9"/>
        <color theme="1"/>
        <rFont val="Arial"/>
      </rPr>
      <t xml:space="preserve">Pillsbury Ciabatta Bread - Presliced w/g ciabatta rolls.  </t>
    </r>
    <r>
      <rPr>
        <b/>
        <sz val="9"/>
        <color theme="1"/>
        <rFont val="Arial"/>
      </rPr>
      <t xml:space="preserve">=2oz Grain   </t>
    </r>
    <r>
      <rPr>
        <sz val="9"/>
        <color theme="1"/>
        <rFont val="Arial"/>
      </rPr>
      <t xml:space="preserve">              </t>
    </r>
  </si>
  <si>
    <t xml:space="preserve">96/1.8 oz srv </t>
  </si>
  <si>
    <t>Pillsbury -37738  or Equal To</t>
  </si>
  <si>
    <t>BREAD, FRENCH BREAD ROLL</t>
  </si>
  <si>
    <r>
      <rPr>
        <sz val="9"/>
        <color theme="1"/>
        <rFont val="Arial"/>
      </rPr>
      <t xml:space="preserve">Pillsbury French Bread, W/G - </t>
    </r>
    <r>
      <rPr>
        <b/>
        <sz val="9"/>
        <color theme="1"/>
        <rFont val="Arial"/>
      </rPr>
      <t>1 piece=2oz Grain</t>
    </r>
  </si>
  <si>
    <t>Pillsbury -10174 or Equal To</t>
  </si>
  <si>
    <t>BREAD, PANINI</t>
  </si>
  <si>
    <r>
      <rPr>
        <sz val="9"/>
        <color theme="1"/>
        <rFont val="Arial"/>
      </rPr>
      <t xml:space="preserve">Pillsbury Panini Bread, W/G - </t>
    </r>
    <r>
      <rPr>
        <b/>
        <sz val="9"/>
        <color theme="1"/>
        <rFont val="Arial"/>
      </rPr>
      <t>2 pieces=2oz Grain</t>
    </r>
  </si>
  <si>
    <t>96/1.8oz</t>
  </si>
  <si>
    <r>
      <rPr>
        <sz val="9"/>
        <color theme="1"/>
        <rFont val="Arial"/>
      </rPr>
      <t xml:space="preserve">Pillsbury 11091 </t>
    </r>
    <r>
      <rPr>
        <sz val="9"/>
        <color theme="1"/>
        <rFont val="Arial"/>
      </rPr>
      <t>or Equal To</t>
    </r>
  </si>
  <si>
    <t>BREAD, CROISSANTS, WG</t>
  </si>
  <si>
    <t>Croissants, WG, Margarine, RF, Round Fully sliced</t>
  </si>
  <si>
    <t>150/2.2oz</t>
  </si>
  <si>
    <t>Bake Crafters 869 or Equal To</t>
  </si>
  <si>
    <t>2.2oz =2M/MA</t>
  </si>
  <si>
    <t>BREAD, CEREAL BAR GRANOLA</t>
  </si>
  <si>
    <r>
      <rPr>
        <sz val="9"/>
        <color theme="1"/>
        <rFont val="Arial"/>
      </rPr>
      <t xml:space="preserve">Quaker Chewy Granola Bar Dark Chocolate Chunk </t>
    </r>
    <r>
      <rPr>
        <b/>
        <sz val="9"/>
        <color theme="1"/>
        <rFont val="Arial"/>
      </rPr>
      <t xml:space="preserve">CN:1.41oz=1G         </t>
    </r>
  </si>
  <si>
    <t>125/1.41oz</t>
  </si>
  <si>
    <t>PEPSICO 56587 or Equal to</t>
  </si>
  <si>
    <t>Case</t>
  </si>
  <si>
    <r>
      <rPr>
        <sz val="9"/>
        <color theme="1"/>
        <rFont val="Arial"/>
      </rPr>
      <t xml:space="preserve">Quaker Chewy Granola Bar Red. Sug. Cookies n' Creme </t>
    </r>
    <r>
      <rPr>
        <b/>
        <sz val="9"/>
        <color theme="1"/>
        <rFont val="Arial"/>
      </rPr>
      <t xml:space="preserve">CN:1.37oz=1G       </t>
    </r>
  </si>
  <si>
    <t>125/1.37oz</t>
  </si>
  <si>
    <t>PEPSICO 56586or Equal to</t>
  </si>
  <si>
    <t>BREAD, CEREAL BAR, WG, CHEWY</t>
  </si>
  <si>
    <t xml:space="preserve">Chewy cereal bar made with whole grain oats and rice no high fructose  </t>
  </si>
  <si>
    <t>96/1.34oz</t>
  </si>
  <si>
    <t>KELLOGGS- COCOA - 91612 or equal to</t>
  </si>
  <si>
    <r>
      <rPr>
        <sz val="9"/>
        <color theme="1"/>
        <rFont val="Arial"/>
      </rPr>
      <t xml:space="preserve">corn syrup.  Contains 3 grams of Fiber   </t>
    </r>
    <r>
      <rPr>
        <b/>
        <sz val="9"/>
        <color theme="1"/>
        <rFont val="Arial"/>
      </rPr>
      <t xml:space="preserve"> 1 bar = 1 Grain Equivalent           </t>
    </r>
  </si>
  <si>
    <t>96/1.27oz</t>
  </si>
  <si>
    <t>KELLOGGS- BERRY - 54937 or Equal To</t>
  </si>
  <si>
    <t>BREAD, SNACK RICE KRISPIE MINI</t>
  </si>
  <si>
    <t xml:space="preserve">RICE KRISPIE MINI SQR W/G                                                    </t>
  </si>
  <si>
    <t>600/.42Z</t>
  </si>
  <si>
    <t xml:space="preserve">KELLOGGS- MINI SQ # 14540 or equal to </t>
  </si>
  <si>
    <t xml:space="preserve">BREAD, SNACK RICE KRISPIE COCO MINI </t>
  </si>
  <si>
    <t xml:space="preserve">RICE KRISPIE COCO MINI W/G                                               </t>
  </si>
  <si>
    <t>KELLOGGS-MINI COCO - 18461 or Equal To</t>
  </si>
  <si>
    <t xml:space="preserve">Individually wrapped WG cereal bars- </t>
  </si>
  <si>
    <t>96/1.42 OZ</t>
  </si>
  <si>
    <t>GENERAL MILLS - or Equal To</t>
  </si>
  <si>
    <r>
      <rPr>
        <sz val="9"/>
        <color theme="1"/>
        <rFont val="Arial"/>
      </rPr>
      <t xml:space="preserve"> </t>
    </r>
    <r>
      <rPr>
        <b/>
        <sz val="9"/>
        <color theme="1"/>
        <rFont val="Arial"/>
      </rPr>
      <t xml:space="preserve">1 Cereal Bar = 1 Grain Equivalent                                                   </t>
    </r>
  </si>
  <si>
    <t>96/1.42Z</t>
  </si>
  <si>
    <t>COCOA PUFFS - 45577</t>
  </si>
  <si>
    <t>CINNAMON TST CRUNCH - 45576</t>
  </si>
  <si>
    <t>FRUITY CHEERIOS - 31912</t>
  </si>
  <si>
    <t>GOLDEN GRAHAMS - 31913</t>
  </si>
  <si>
    <t xml:space="preserve">BREAD, CEREAL BAR, WG, </t>
  </si>
  <si>
    <t>Individually wrapped Crunchy WG cereal bars</t>
  </si>
  <si>
    <t>108/1.48 OZ</t>
  </si>
  <si>
    <t>GENERAL MILLS - or Equal TO</t>
  </si>
  <si>
    <t>CRUNCHY, GLUTEN FREE</t>
  </si>
  <si>
    <r>
      <rPr>
        <sz val="9"/>
        <color theme="1"/>
        <rFont val="Arial"/>
      </rPr>
      <t xml:space="preserve"> 2pk </t>
    </r>
    <r>
      <rPr>
        <b/>
        <sz val="9"/>
        <color theme="1"/>
        <rFont val="Arial"/>
      </rPr>
      <t xml:space="preserve">Cereal Bar = 1.25 Grain Equivalent                                          </t>
    </r>
  </si>
  <si>
    <t>6/18/1.5Z</t>
  </si>
  <si>
    <t>Nature Valley - Oats 'N Honey - 33530</t>
  </si>
  <si>
    <t>Nature Valley - Peanut Butter - 33550</t>
  </si>
  <si>
    <t>BREAD, CEREAL BAR, NUTRI GRAIN</t>
  </si>
  <si>
    <t xml:space="preserve">Kellogg's Nutri-Grain Cereal Bars </t>
  </si>
  <si>
    <t>96/1.55oz</t>
  </si>
  <si>
    <t>KELLOGG'S or Equal To</t>
  </si>
  <si>
    <t xml:space="preserve">EACH 1.55oz cereal bar =1oz GRAIN                                                   </t>
  </si>
  <si>
    <t>96/1.55Z</t>
  </si>
  <si>
    <t>APPLE # 59779 or Equal To</t>
  </si>
  <si>
    <t>BLUEBERRY # 90819</t>
  </si>
  <si>
    <t>STRAWBERRY # 59772</t>
  </si>
  <si>
    <t>BREAD, CEREAL BOWL PAK, WG</t>
  </si>
  <si>
    <t>Must HAVE minimum of 1 gram fiber per serving and whole grain listed</t>
  </si>
  <si>
    <t>96 EACH</t>
  </si>
  <si>
    <t>BLUEBERRY CHEX -184463</t>
  </si>
  <si>
    <t>NEW</t>
  </si>
  <si>
    <r>
      <rPr>
        <sz val="9"/>
        <color theme="1"/>
        <rFont val="Arial"/>
      </rPr>
      <t xml:space="preserve">as first ingredient.        </t>
    </r>
    <r>
      <rPr>
        <b/>
        <sz val="9"/>
        <color theme="1"/>
        <rFont val="Arial"/>
      </rPr>
      <t xml:space="preserve">                                                                           </t>
    </r>
  </si>
  <si>
    <t>96/IND</t>
  </si>
  <si>
    <t>CINNAMON TOAST CRUNCH - 29444</t>
  </si>
  <si>
    <t>COCOA PUFFS - 31888</t>
  </si>
  <si>
    <t>FRUITY CHEERIOS - 31916</t>
  </si>
  <si>
    <t>HONEY CHEERIOS- 184470</t>
  </si>
  <si>
    <t>HONEY NUT CHEX- 11866</t>
  </si>
  <si>
    <t>GOLDEN GRAHAMS - 11943</t>
  </si>
  <si>
    <t>LUCKY CHARMS - 31917</t>
  </si>
  <si>
    <t>REESE'S PUFFS - 31919</t>
  </si>
  <si>
    <t>TRIX- 31922</t>
  </si>
  <si>
    <t>BREAD, CHOW MEIN 51%</t>
  </si>
  <si>
    <t xml:space="preserve">Chow Mein 51% Whole Grain Noodle (No Sauce) </t>
  </si>
  <si>
    <t xml:space="preserve">5/2.5# BAGS </t>
  </si>
  <si>
    <t>YANGS 5th TASTE - 00302-3</t>
  </si>
  <si>
    <t xml:space="preserve">CN: 2oz SERV=2 oz GRAIN                                                             </t>
  </si>
  <si>
    <t>(100/2oz srv)</t>
  </si>
  <si>
    <t>BREAD, CINNAMON ROLL, WG</t>
  </si>
  <si>
    <t>Whole grain freezer to oven cinnamon rolls</t>
  </si>
  <si>
    <t>100/2.7oz</t>
  </si>
  <si>
    <t>Pillsbury # 11111 or Equal To</t>
  </si>
  <si>
    <r>
      <rPr>
        <sz val="9"/>
        <color theme="1"/>
        <rFont val="Arial"/>
      </rPr>
      <t>1-2.7oz cinnamon roll=2oz Grain Equivalent</t>
    </r>
    <r>
      <rPr>
        <b/>
        <sz val="9"/>
        <color theme="1"/>
        <rFont val="Arial"/>
      </rPr>
      <t xml:space="preserve">             </t>
    </r>
    <r>
      <rPr>
        <sz val="9"/>
        <color theme="1"/>
        <rFont val="Arial"/>
      </rPr>
      <t xml:space="preserve">   </t>
    </r>
  </si>
  <si>
    <t>BREAD, CHEEZ-IT</t>
  </si>
  <si>
    <t xml:space="preserve">Baked snack cheese cracker WG            </t>
  </si>
  <si>
    <t>175/.75 oz</t>
  </si>
  <si>
    <t>KELLOGGS - 79263 or Equal To</t>
  </si>
  <si>
    <t>BREAD, COOKIE DOUGH WG, FROZEN</t>
  </si>
  <si>
    <t>1.0 oz BeneFit Cookie Made with 51% Whole Grain</t>
  </si>
  <si>
    <t>384/1 OZ</t>
  </si>
  <si>
    <t>READI BAKE Benefit R/F, WG</t>
  </si>
  <si>
    <t>384/1Z</t>
  </si>
  <si>
    <t>Chocolate Chip - 04911</t>
  </si>
  <si>
    <t>Double Chocolate Chip - 04914</t>
  </si>
  <si>
    <t>BREAD, COOKIE, WGR MINI CHOC CHIP BAGS</t>
  </si>
  <si>
    <t>Grandma's WGR mini chocolate chip cookies - 1.22 oz bag</t>
  </si>
  <si>
    <t>80/1.22 OZ</t>
  </si>
  <si>
    <t>PEPSICO/FRITO LAY GRANDMA'S</t>
  </si>
  <si>
    <t xml:space="preserve">CN 1-1.22oz bag = 1oz grain                                                             </t>
  </si>
  <si>
    <t>#66154 or Equal To</t>
  </si>
  <si>
    <t>.</t>
  </si>
  <si>
    <t>BREAD, COOKIE, WGR, CONFETTI FILLED</t>
  </si>
  <si>
    <t>Whole grain rich indv. wrapped, Confettie cake filled cookie w/frosting</t>
  </si>
  <si>
    <t>120/1.7oz</t>
  </si>
  <si>
    <t>RICH'S # 08202</t>
  </si>
  <si>
    <t xml:space="preserve">1-1.7oz cookie= 1oz grain                                                                   </t>
  </si>
  <si>
    <t>BREAD, COOKIE, WGR, TRPL CHOC FILLED</t>
  </si>
  <si>
    <t>Whole grain rich indv. wrapped, triple choc. Filled cookie made w/Hershey's Chocolate</t>
  </si>
  <si>
    <t>RICH'S # 03593</t>
  </si>
  <si>
    <t>BREAD, COOKIE, COOKIE, FROSTED</t>
  </si>
  <si>
    <t>Wholegrain frosted cookies</t>
  </si>
  <si>
    <t>126/1.5oz</t>
  </si>
  <si>
    <t>CLASSIC DELIGHT or Equal To</t>
  </si>
  <si>
    <t>1.5 oz cookie = .5 grain</t>
  </si>
  <si>
    <t>FROSTED BIRTHDAY # 10501</t>
  </si>
  <si>
    <t>FROSTED PINK # 10500</t>
  </si>
  <si>
    <t>BREAD, CRACKERS, FISH SHAPED</t>
  </si>
  <si>
    <t xml:space="preserve">WG Fish shaped flavored baked bite size crackers.           </t>
  </si>
  <si>
    <t>300/.75 oz</t>
  </si>
  <si>
    <t>PEPPERIDGE FARMS CHED.- 18105</t>
  </si>
  <si>
    <t xml:space="preserve">Must equal 1 grain/bread serving and be 51% WG      </t>
  </si>
  <si>
    <t>PEPPERIDGE FARMS PRET- 14396</t>
  </si>
  <si>
    <t>BREAD, CRACKERS, GRAHAM, C.C.</t>
  </si>
  <si>
    <t>Choc. Chip Bites graham snack in portable popable serving WG</t>
  </si>
  <si>
    <t>150/.95oz</t>
  </si>
  <si>
    <t>KELLOGGS- 80741</t>
  </si>
  <si>
    <t xml:space="preserve">1 pack = 1 grain equivalent                          </t>
  </si>
  <si>
    <t>BREAD, CRACKERS, W/G CAPTAINS WAFERS</t>
  </si>
  <si>
    <t>Lance whole grain captain wafers - first ingredients whole wheat flour.</t>
  </si>
  <si>
    <t xml:space="preserve">400/2PK </t>
  </si>
  <si>
    <t>LANCE - 107762 or Equal To</t>
  </si>
  <si>
    <t xml:space="preserve">2 packages/4crackers =  .05z grain equivalent                  </t>
  </si>
  <si>
    <t>available for shipment July 2016</t>
  </si>
  <si>
    <t>2pks each</t>
  </si>
  <si>
    <t>BREAD, GARLIC TOAST WG</t>
  </si>
  <si>
    <t>B4S 1" Whole Grain Garlic Toast</t>
  </si>
  <si>
    <t>125/1.2oz slices</t>
  </si>
  <si>
    <t>FLOWERS BAKERIES or Equal To</t>
  </si>
  <si>
    <t xml:space="preserve">1-1.2oz slice=1G equivalent                                                  </t>
  </si>
  <si>
    <t>#99887160</t>
  </si>
  <si>
    <t>BREAD, DONUT, LONG JOHN</t>
  </si>
  <si>
    <t xml:space="preserve">Donut Long John RTI W/G                                                                        </t>
  </si>
  <si>
    <t>96/2oz</t>
  </si>
  <si>
    <t>BAKER BOY # 25232</t>
  </si>
  <si>
    <t>BREAD, DONUT, MINI CAKE</t>
  </si>
  <si>
    <t xml:space="preserve">Donut Mini Cake - Cinnamon Sugar                    </t>
  </si>
  <si>
    <t>144/.5 OZ OR</t>
  </si>
  <si>
    <t>BAKER BOY # 35674</t>
  </si>
  <si>
    <t>48 SRV OF 3</t>
  </si>
  <si>
    <t>BREAD, MUFFIN I/W 3.6</t>
  </si>
  <si>
    <t xml:space="preserve">Muffin, WG, Blueberry, I/W 3.6OZ                                                         </t>
  </si>
  <si>
    <t>48/3.6oz</t>
  </si>
  <si>
    <t>SMART CHOICE-#06661 or Equal To</t>
  </si>
  <si>
    <t xml:space="preserve">Muff, WG, Choclat Chip, IW, 3.6oz                                                        </t>
  </si>
  <si>
    <t>SMART CHOICE - # 06670 or Equal To</t>
  </si>
  <si>
    <t>BREAD, RICE VEGETABLE FRIED</t>
  </si>
  <si>
    <t>WG Vegetable Fried Brown Rice</t>
  </si>
  <si>
    <t xml:space="preserve">30.69# </t>
  </si>
  <si>
    <t>MINH - 69074 or Equal To</t>
  </si>
  <si>
    <r>
      <rPr>
        <sz val="9"/>
        <color theme="1"/>
        <rFont val="Arial"/>
      </rPr>
      <t xml:space="preserve"> 84/5.9oz=2 Grain and 1/4c veg.      </t>
    </r>
    <r>
      <rPr>
        <b/>
        <sz val="9"/>
        <color theme="1"/>
        <rFont val="Arial"/>
      </rPr>
      <t>6/5.163# packs</t>
    </r>
  </si>
  <si>
    <t>5.9z srv.</t>
  </si>
  <si>
    <t>BREAD, ROLL DOUGH 51% WG</t>
  </si>
  <si>
    <r>
      <rPr>
        <sz val="9"/>
        <color theme="1"/>
        <rFont val="Arial"/>
      </rPr>
      <t xml:space="preserve">At least 51% Whole Grain Dinner Roll Dough                         </t>
    </r>
    <r>
      <rPr>
        <b/>
        <sz val="9"/>
        <color theme="1"/>
        <rFont val="Arial"/>
      </rPr>
      <t>1GRAIN EQUIVALENT</t>
    </r>
  </si>
  <si>
    <t>408/1oz</t>
  </si>
  <si>
    <t>READIBAKE-01519 or Equal To</t>
  </si>
  <si>
    <t>2 GRAIN EQUIVALENT</t>
  </si>
  <si>
    <t>216/2.2oz</t>
  </si>
  <si>
    <t>READIBAKE - 01509 or Equal To</t>
  </si>
  <si>
    <t>BREAD, ROLL SISTER SCHUBERT'S, PAR BAKED</t>
  </si>
  <si>
    <r>
      <rPr>
        <sz val="9"/>
        <color theme="1"/>
        <rFont val="Arial"/>
      </rPr>
      <t xml:space="preserve">Whole Grain rich par baked dinner rolls- </t>
    </r>
    <r>
      <rPr>
        <b/>
        <sz val="9"/>
        <color theme="1"/>
        <rFont val="Arial"/>
      </rPr>
      <t xml:space="preserve">1-1.5oz roll=____Grain,       </t>
    </r>
  </si>
  <si>
    <t>120/1.5oz</t>
  </si>
  <si>
    <t>SISTER SCHUBERTS -62205 or = to</t>
  </si>
  <si>
    <t>BREAD, Snack, Chex Mix</t>
  </si>
  <si>
    <r>
      <rPr>
        <sz val="9"/>
        <color theme="1"/>
        <rFont val="Arial"/>
      </rPr>
      <t xml:space="preserve">Simply Chex mixes, WG,   </t>
    </r>
    <r>
      <rPr>
        <b/>
        <sz val="9"/>
        <color theme="1"/>
        <rFont val="Arial"/>
      </rPr>
      <t>1 bag = 1 Grain Equivalent</t>
    </r>
  </si>
  <si>
    <t>GENERAL MILLS- or Equal To</t>
  </si>
  <si>
    <t>60/1.03Z</t>
  </si>
  <si>
    <t>Chocolate Carml - 31933</t>
  </si>
  <si>
    <t>Strawberry Yogurt - 31937</t>
  </si>
  <si>
    <t>BREAD, SNACKS, PRETZEL</t>
  </si>
  <si>
    <r>
      <rPr>
        <sz val="9"/>
        <color theme="1"/>
        <rFont val="Arial"/>
      </rPr>
      <t xml:space="preserve">1oz 51% Whole Grain Baked Pretzel Mini     </t>
    </r>
    <r>
      <rPr>
        <b/>
        <sz val="9"/>
        <color theme="1"/>
        <rFont val="Arial"/>
      </rPr>
      <t>CN 1oz=1 Grain</t>
    </r>
    <r>
      <rPr>
        <sz val="9"/>
        <color theme="1"/>
        <rFont val="Arial"/>
      </rPr>
      <t xml:space="preserve">                                </t>
    </r>
  </si>
  <si>
    <t>200/1OZ</t>
  </si>
  <si>
    <t>J&amp;J SNACK FOODS#30113 or Equal To</t>
  </si>
  <si>
    <t xml:space="preserve">BREAD, SNACKS, CHIP CORN </t>
  </si>
  <si>
    <t>Corn chip bulk pack original</t>
  </si>
  <si>
    <t>8/16 OZ</t>
  </si>
  <si>
    <t>FRITO-LAY INC 12248</t>
  </si>
  <si>
    <t xml:space="preserve">1/2 cup = 1oz grain equivalent- Aprox 20 srv per bag - 160 per cs.  </t>
  </si>
  <si>
    <t xml:space="preserve">BREAD, SNACKS, CHIP TORTILLA </t>
  </si>
  <si>
    <t>Chip Tortilla round white salted, made w/100% whole grain corn.</t>
  </si>
  <si>
    <t>104/.875oz</t>
  </si>
  <si>
    <t>Tostitos - 18792 or Equal To</t>
  </si>
  <si>
    <t xml:space="preserve">1bag  tortilla chips = 1.25 oz grain equivalent          </t>
  </si>
  <si>
    <t>Per Bag</t>
  </si>
  <si>
    <t xml:space="preserve">8/2# </t>
  </si>
  <si>
    <t>Azteca 20084 or Equal To</t>
  </si>
  <si>
    <t xml:space="preserve">10-12 chips or 1oz chips = 1 oz grain equivalent    </t>
  </si>
  <si>
    <t>Nacho Cheese Tortilla Chip made w/100% whole grain corn.</t>
  </si>
  <si>
    <t>64/1.66Z</t>
  </si>
  <si>
    <t>SHERERS #61968 or Equal To</t>
  </si>
  <si>
    <t>Nacho Cheese</t>
  </si>
  <si>
    <t xml:space="preserve">1 1.5oz bag  tortilla chips = 1.5 oz grain equivalent         </t>
  </si>
  <si>
    <t>BREAD, SNACKS, CHIP SUN</t>
  </si>
  <si>
    <t xml:space="preserve">Sunchips Multigrain Snacks - made with whole corn   </t>
  </si>
  <si>
    <t>104/1OZ BG</t>
  </si>
  <si>
    <t>SUNCHIPS - HAVEST CHEDDAR -11152</t>
  </si>
  <si>
    <t xml:space="preserve">EACH 1 OZ BAG= 1.25 OZ GRAIN SRVING              </t>
  </si>
  <si>
    <t>SUNCHIPS - GARDEN SALSA - 36445</t>
  </si>
  <si>
    <t>BREAD, SNACKS, WHEAT THINS</t>
  </si>
  <si>
    <r>
      <rPr>
        <sz val="9"/>
        <color theme="1"/>
        <rFont val="Arial"/>
      </rPr>
      <t xml:space="preserve">Wheat Thins single serve bag - </t>
    </r>
    <r>
      <rPr>
        <b/>
        <sz val="9"/>
        <color theme="1"/>
        <rFont val="Arial"/>
      </rPr>
      <t xml:space="preserve">Each 1.75z bg = 2.5z grain    </t>
    </r>
  </si>
  <si>
    <t>72/1.75 BG</t>
  </si>
  <si>
    <t>NABISCO - 00798 or Equal To</t>
  </si>
  <si>
    <t xml:space="preserve">BREAD, SNACKS, SALVEO BRAND </t>
  </si>
  <si>
    <r>
      <rPr>
        <sz val="9"/>
        <color theme="1"/>
        <rFont val="Arial"/>
      </rPr>
      <t xml:space="preserve">Cheese Balls - Whole grain corn first ingredient      </t>
    </r>
    <r>
      <rPr>
        <b/>
        <sz val="9"/>
        <color theme="1"/>
        <rFont val="Arial"/>
      </rPr>
      <t xml:space="preserve">1 bag=.75 oz grain      </t>
    </r>
  </si>
  <si>
    <t>64/.8oz</t>
  </si>
  <si>
    <t>SALVEO - 25058 or Equal To</t>
  </si>
  <si>
    <r>
      <rPr>
        <sz val="9"/>
        <color theme="1"/>
        <rFont val="Arial"/>
      </rPr>
      <t xml:space="preserve">Cheddar &amp; Bacon Fries - Whole grain Cornmeal        </t>
    </r>
    <r>
      <rPr>
        <b/>
        <sz val="9"/>
        <color theme="1"/>
        <rFont val="Arial"/>
      </rPr>
      <t xml:space="preserve">1bag = 1oz grain       </t>
    </r>
  </si>
  <si>
    <t>90/1oz</t>
  </si>
  <si>
    <t>SALVEO - 25060 or Equal To</t>
  </si>
  <si>
    <t>BREAD, SNACKS, CHEETOS</t>
  </si>
  <si>
    <r>
      <rPr>
        <sz val="9"/>
        <color theme="1"/>
        <rFont val="Arial"/>
      </rPr>
      <t xml:space="preserve">Cheetos Fantastix WG Chili Cheese      </t>
    </r>
    <r>
      <rPr>
        <b/>
        <sz val="9"/>
        <color theme="1"/>
        <rFont val="Arial"/>
      </rPr>
      <t xml:space="preserve">     1- 1 oz bag=1.25 oz grain                     </t>
    </r>
    <r>
      <rPr>
        <sz val="9"/>
        <color theme="1"/>
        <rFont val="Arial"/>
      </rPr>
      <t xml:space="preserve">                         </t>
    </r>
  </si>
  <si>
    <t>104/1oz</t>
  </si>
  <si>
    <t>PEPSICO Cheetos # 36098 or Equal To</t>
  </si>
  <si>
    <r>
      <rPr>
        <sz val="9"/>
        <color theme="1"/>
        <rFont val="Arial"/>
      </rPr>
      <t xml:space="preserve">Cheetos Fantastix WG Hot                          </t>
    </r>
    <r>
      <rPr>
        <b/>
        <sz val="9"/>
        <color theme="1"/>
        <rFont val="Arial"/>
      </rPr>
      <t>1- 1 oz bag=1.25 oz grain</t>
    </r>
  </si>
  <si>
    <t>PEPSICO Cheetos # 43578 or Equal To</t>
  </si>
  <si>
    <r>
      <rPr>
        <sz val="9"/>
        <color theme="1"/>
        <rFont val="Arial"/>
      </rPr>
      <t>Cheetos Baked WG Crunchy</t>
    </r>
    <r>
      <rPr>
        <b/>
        <sz val="9"/>
        <color theme="1"/>
        <rFont val="Arial"/>
      </rPr>
      <t xml:space="preserve">                       1- .875 oz bag=1.25 oz grain</t>
    </r>
  </si>
  <si>
    <t>PEPSICO Cheetos # 62933 or Equal To</t>
  </si>
  <si>
    <r>
      <rPr>
        <sz val="9"/>
        <color theme="1"/>
        <rFont val="Arial"/>
      </rPr>
      <t xml:space="preserve">Cheetos Baked WG Crunchy Hot                </t>
    </r>
    <r>
      <rPr>
        <b/>
        <sz val="9"/>
        <color theme="1"/>
        <rFont val="Arial"/>
      </rPr>
      <t xml:space="preserve"> 1- .875 oz bag=1.25 oz grain</t>
    </r>
  </si>
  <si>
    <t>104/IND</t>
  </si>
  <si>
    <t>PEPSICO Cheetos # 62984 or Equal To</t>
  </si>
  <si>
    <r>
      <rPr>
        <sz val="9"/>
        <color theme="1"/>
        <rFont val="Arial"/>
      </rPr>
      <t xml:space="preserve">Cheetos RF WG Puff                               </t>
    </r>
    <r>
      <rPr>
        <b/>
        <sz val="9"/>
        <color theme="1"/>
        <rFont val="Arial"/>
      </rPr>
      <t xml:space="preserve">     1- .7 oz bag=1 oz grain</t>
    </r>
  </si>
  <si>
    <t>72/.7Z</t>
  </si>
  <si>
    <t>PEPSICO Cheetos # 21910 or Equal To</t>
  </si>
  <si>
    <t>BREAD, SNACKS, DORITOS</t>
  </si>
  <si>
    <r>
      <rPr>
        <sz val="9"/>
        <color theme="1"/>
        <rFont val="Arial"/>
      </rPr>
      <t xml:space="preserve">Doritos Reduced Fat Tortilla Chips Nacho Cheese            </t>
    </r>
    <r>
      <rPr>
        <b/>
        <sz val="9"/>
        <color theme="1"/>
        <rFont val="Arial"/>
      </rPr>
      <t>1oz bag=1.5 oz grain</t>
    </r>
  </si>
  <si>
    <t>72/1oz</t>
  </si>
  <si>
    <t>PEPSICO Doritos RF Nacho # 31748</t>
  </si>
  <si>
    <r>
      <rPr>
        <sz val="9"/>
        <color theme="1"/>
        <rFont val="Arial"/>
      </rPr>
      <t xml:space="preserve">Doritos Reduced Fat Tortilla Chips Cool Ranch </t>
    </r>
    <r>
      <rPr>
        <b/>
        <sz val="9"/>
        <color theme="1"/>
        <rFont val="Arial"/>
      </rPr>
      <t xml:space="preserve">                1oz bag=1.5 oz grain  </t>
    </r>
  </si>
  <si>
    <t>PEPSICO Doritos RF Cool Ranch # 36096</t>
  </si>
  <si>
    <r>
      <rPr>
        <sz val="9"/>
        <color theme="1"/>
        <rFont val="Arial"/>
      </rPr>
      <t xml:space="preserve">Doritos Reduced Fat Tortilla Chips Spicy Sweet Chili         </t>
    </r>
    <r>
      <rPr>
        <b/>
        <sz val="9"/>
        <color theme="1"/>
        <rFont val="Arial"/>
      </rPr>
      <t>1oz bag=1.5 oz grain</t>
    </r>
  </si>
  <si>
    <t>PEPSICO Doritos RF Spicy Swt Chili #49093</t>
  </si>
  <si>
    <r>
      <rPr>
        <sz val="9"/>
        <color theme="1"/>
        <rFont val="Arial"/>
      </rPr>
      <t xml:space="preserve">Funyuns Baked Not Fried Onion Flavored Rings                </t>
    </r>
    <r>
      <rPr>
        <b/>
        <sz val="9"/>
        <color theme="1"/>
        <rFont val="Arial"/>
      </rPr>
      <t>.75 oz =1oz grain</t>
    </r>
  </si>
  <si>
    <t>104/.75 oz</t>
  </si>
  <si>
    <t>PEPSICO Funyuns # 66689</t>
  </si>
  <si>
    <t>BREAD, EDIBOWL</t>
  </si>
  <si>
    <t xml:space="preserve">Edibowls 4 1/2" whole grain baked  </t>
  </si>
  <si>
    <t>12/12CT</t>
  </si>
  <si>
    <t>EDIBOWLS- 0507-8 or Equal To</t>
  </si>
  <si>
    <r>
      <rPr>
        <b/>
        <sz val="9"/>
        <color theme="1"/>
        <rFont val="Arial"/>
      </rPr>
      <t>1 bowl = 1 grain equivalent</t>
    </r>
    <r>
      <rPr>
        <sz val="9"/>
        <color theme="1"/>
        <rFont val="Arial"/>
      </rPr>
      <t xml:space="preserve">                          </t>
    </r>
  </si>
  <si>
    <t>BREAD, TORTILLA ULTRAGRAIN</t>
  </si>
  <si>
    <r>
      <rPr>
        <sz val="9"/>
        <color theme="1"/>
        <rFont val="Arial"/>
      </rPr>
      <t xml:space="preserve">Tortilla ultragrain flour 9" </t>
    </r>
    <r>
      <rPr>
        <b/>
        <sz val="9"/>
        <color theme="1"/>
        <rFont val="Arial"/>
      </rPr>
      <t xml:space="preserve">                                                                     </t>
    </r>
  </si>
  <si>
    <t>16/12CT-192@</t>
  </si>
  <si>
    <t xml:space="preserve">AZTECA-06909 or Equal To </t>
  </si>
  <si>
    <t xml:space="preserve">1 tortilla = 2oz grain equivalent                                </t>
  </si>
  <si>
    <t>BREAD, SHELL SALAD ULTRAGRAIN</t>
  </si>
  <si>
    <t>10" Salad Shell Ultra Grain</t>
  </si>
  <si>
    <t>24/6CT-144 CT</t>
  </si>
  <si>
    <t>AZTECA - 91619 or Equal To</t>
  </si>
  <si>
    <t xml:space="preserve">1 shell = 2oz  grain equivalent                                                 </t>
  </si>
  <si>
    <t>BREAD, UBR</t>
  </si>
  <si>
    <t xml:space="preserve">UBR- The ultimnate breakfast round Oatmeal Chocolate Chip </t>
  </si>
  <si>
    <t>140/2.5oz</t>
  </si>
  <si>
    <t>UBR - OATMEAL CHOC CHIP- 13709</t>
  </si>
  <si>
    <t xml:space="preserve">1 brk round = 2oz grain                                                                           </t>
  </si>
  <si>
    <t>BREAD, ULTRA LOCO BREAD</t>
  </si>
  <si>
    <r>
      <rPr>
        <sz val="9"/>
        <color theme="1"/>
        <rFont val="Arial"/>
      </rPr>
      <t xml:space="preserve">Whole Grain Premium Style Gordita Bread   </t>
    </r>
    <r>
      <rPr>
        <b/>
        <sz val="9"/>
        <color theme="1"/>
        <rFont val="Arial"/>
      </rPr>
      <t>12/12CT-1.8oz each</t>
    </r>
  </si>
  <si>
    <t>FATHER'S TABLE-ROUND - 01188</t>
  </si>
  <si>
    <t xml:space="preserve">1 gordita shell = 2 oz grain equivalent                    </t>
  </si>
  <si>
    <t>BREAD, FLATBREAD STACKABLE</t>
  </si>
  <si>
    <t>Sheet of whole grain dipping sticks ready to be used as individual dippers for snacks</t>
  </si>
  <si>
    <t>144/4oz</t>
  </si>
  <si>
    <t>Rich's 20215</t>
  </si>
  <si>
    <t>1 -4 oz srving (8 square) = 2oz grain equivalent</t>
  </si>
  <si>
    <t>BREAD, ENGLISH MUFFIN</t>
  </si>
  <si>
    <t>English Muffin WG Sliced</t>
  </si>
  <si>
    <t xml:space="preserve">12/8CT=96 </t>
  </si>
  <si>
    <t>THOMAS</t>
  </si>
  <si>
    <t xml:space="preserve">1-2.3oz English Muffin = 2 oz Grain Equivalent                                     </t>
  </si>
  <si>
    <t>BREAD, DUMPLING, SPAETZLE</t>
  </si>
  <si>
    <t xml:space="preserve">Spaetzle Dumplings - traditional German dumplings </t>
  </si>
  <si>
    <t>MARZETTI # 41308 22001</t>
  </si>
  <si>
    <t xml:space="preserve">                                                                                                       </t>
  </si>
  <si>
    <t>BREAD, PASTA, EGG NOODLE CURLY</t>
  </si>
  <si>
    <t xml:space="preserve">Egg noodle Medium 1/4" curly                                </t>
  </si>
  <si>
    <t>ZEREGA-CORTONA # 81227</t>
  </si>
  <si>
    <t>BREAD, PASTA, SHELLS MEDIUM</t>
  </si>
  <si>
    <t xml:space="preserve">Shells Medium                                                      </t>
  </si>
  <si>
    <t>2/10#</t>
  </si>
  <si>
    <t>ZEREGA-CORTONA # 81217</t>
  </si>
  <si>
    <t>BREAD, PASTA, PENNE RIGATE</t>
  </si>
  <si>
    <t xml:space="preserve">Penne Rigate                                                  </t>
  </si>
  <si>
    <t>ZEREGA-CORTONA # 81213</t>
  </si>
  <si>
    <t>BREAD, RICE INSTANT</t>
  </si>
  <si>
    <t xml:space="preserve">Instant white rice, long grain, enriched, precooked           </t>
  </si>
  <si>
    <t>12/14Z</t>
  </si>
  <si>
    <t>MINUTE # 11806</t>
  </si>
  <si>
    <t>BREAD, RICE KRISPIES CEREAL BULK</t>
  </si>
  <si>
    <t>Cereal Rice Krispies Bulk</t>
  </si>
  <si>
    <t xml:space="preserve">                                                                                 GRAIN/BREAD SUB-TOTAL</t>
  </si>
  <si>
    <t>FRUIT DRY/FROZEN  *USA on everything possible*</t>
  </si>
  <si>
    <t>FRUIT, FRUIT SNACKS</t>
  </si>
  <si>
    <t xml:space="preserve">Welch's Berries 'n Cherries                 </t>
  </si>
  <si>
    <t>144/1.55Z</t>
  </si>
  <si>
    <t>WELCH'S -14492 or Equal to</t>
  </si>
  <si>
    <t xml:space="preserve">Welch's Strawberry                               </t>
  </si>
  <si>
    <t>WELCH'S14496 or Equal to</t>
  </si>
  <si>
    <t>FRUIT, DRY, APPLESAUCE</t>
  </si>
  <si>
    <t>Applesauce unsweetened bulk pack.</t>
  </si>
  <si>
    <t xml:space="preserve">DISTRIBUTOR'S CHIOCE-- </t>
  </si>
  <si>
    <t xml:space="preserve">                                   </t>
  </si>
  <si>
    <t>KNOUSE/SUNSOURCE ESSENTIALS</t>
  </si>
  <si>
    <t>FRUIT, DRY, APPLES SLICED</t>
  </si>
  <si>
    <t>APPLES SLICED, WATER PACKED 6.5#- USA</t>
  </si>
  <si>
    <t>BURNETTE/ SUNSOURCE MERIT- 00038</t>
  </si>
  <si>
    <t>FRUIT, DRY, CRANBERRIES DRIED</t>
  </si>
  <si>
    <t>Cranberries sweet dried, no artificial flavors, preservatives, TFF, high in fiber</t>
  </si>
  <si>
    <t>Ocean Spray #03477</t>
  </si>
  <si>
    <t xml:space="preserve">FRUIT, DRY, CRANBERRIES IND. </t>
  </si>
  <si>
    <t xml:space="preserve">Cranberries, Dried Cranberries - Strawberry     </t>
  </si>
  <si>
    <t>200/1.16Z</t>
  </si>
  <si>
    <t xml:space="preserve">Ocean Spray - 23445 or equal to </t>
  </si>
  <si>
    <t xml:space="preserve">Cranberries, Dried Cranberries - Cherry      </t>
  </si>
  <si>
    <t xml:space="preserve">Ocean Spray - 23444 or equal to </t>
  </si>
  <si>
    <t xml:space="preserve">Cranberries, Dried Cranberries - Original                 </t>
  </si>
  <si>
    <t xml:space="preserve">Ocean Spray - 23446 or equal to </t>
  </si>
  <si>
    <t>FRUIT, DRY, CHERRIES MARASCHINO</t>
  </si>
  <si>
    <r>
      <rPr>
        <sz val="9"/>
        <color theme="1"/>
        <rFont val="Arial"/>
      </rPr>
      <t>Maraschino Cherries-</t>
    </r>
    <r>
      <rPr>
        <b/>
        <sz val="9"/>
        <color theme="1"/>
        <rFont val="Arial"/>
      </rPr>
      <t xml:space="preserve">4# 10oz </t>
    </r>
  </si>
  <si>
    <t>.5 GAL</t>
  </si>
  <si>
    <t>SENECA FOODS # 8642 or Equal to</t>
  </si>
  <si>
    <t>CONT.</t>
  </si>
  <si>
    <t>FRUIT, DRY, FRUIT COCKTAIL</t>
  </si>
  <si>
    <t xml:space="preserve">Fruit cocktail in juice.*USA*            </t>
  </si>
  <si>
    <t xml:space="preserve">6/#10
</t>
  </si>
  <si>
    <t xml:space="preserve">SOUNSOURCE MERIT #00105 or Equal To
</t>
  </si>
  <si>
    <t>FRUIT, DRY, 100% JUICE ASEPTIC</t>
  </si>
  <si>
    <t xml:space="preserve">100% Juice Boxes - all natural shelf stable juices, portion controlled, straw included </t>
  </si>
  <si>
    <t>APPLE</t>
  </si>
  <si>
    <t>40/4.23Z</t>
  </si>
  <si>
    <t xml:space="preserve">Distributor Choice - list varieties </t>
  </si>
  <si>
    <t>GRAPE</t>
  </si>
  <si>
    <t>ORANGE TANGARINE</t>
  </si>
  <si>
    <t>TROPICAL PUNCH</t>
  </si>
  <si>
    <t>WANGO MANGO</t>
  </si>
  <si>
    <t>44/4.23Z</t>
  </si>
  <si>
    <t>DRAGON PUNCH</t>
  </si>
  <si>
    <t>FRUIT, DRY, 100% JUICE SPARKLE</t>
  </si>
  <si>
    <t>100% Fruit juice made with filtered sparkling water</t>
  </si>
  <si>
    <t>24/8Z</t>
  </si>
  <si>
    <t>ENVY - FRUIT PUNCH # 2015</t>
  </si>
  <si>
    <t>ENVY BRAND OR EQUAL TO</t>
  </si>
  <si>
    <t>ENVY - APPLE # 2008</t>
  </si>
  <si>
    <t>PACK:24/8OZ</t>
  </si>
  <si>
    <t>ENVY - STRAWBERRY KIWI # 2022</t>
  </si>
  <si>
    <t>ENVY-TROPICAL ORANGE # 2077</t>
  </si>
  <si>
    <t>ENVY- ACAI BERRY # 2039</t>
  </si>
  <si>
    <t>24/8.4 oz</t>
  </si>
  <si>
    <t>PEPSOCO - IZZY BRAND OR EQUAL TO</t>
  </si>
  <si>
    <t xml:space="preserve">IZZY BRAND OR EQUAL TO </t>
  </si>
  <si>
    <t>PEPSICO -IZZY CHERRY LIME # 01084</t>
  </si>
  <si>
    <t>MS/HS approved</t>
  </si>
  <si>
    <t>PEPSICO -IZZY PEACH # 01052</t>
  </si>
  <si>
    <t>PEPSICO -IZZY BLACKBERRY # 01502</t>
  </si>
  <si>
    <t>PEPSICO -IZZY APPLE # 01507</t>
  </si>
  <si>
    <t>PEPSICO -IZZY CLEMENTINE # 010505</t>
  </si>
  <si>
    <t>PEPSICO -IZZY POMEGRANATE # 01508</t>
  </si>
  <si>
    <t>PEPSICO -IZZY BLACKBERRY LEM #01132</t>
  </si>
  <si>
    <t>PEPSICO -IZZY MANGO # 01129</t>
  </si>
  <si>
    <t>PEPSICO -IZZY LEMONADE # 01131</t>
  </si>
  <si>
    <t>FRUIT, JUICE, TROPICANA</t>
  </si>
  <si>
    <t xml:space="preserve">100% juice </t>
  </si>
  <si>
    <t>24/10 oz</t>
  </si>
  <si>
    <t xml:space="preserve">PEPSICO - TROPICANA OR EQUAL TO </t>
  </si>
  <si>
    <t>APPLE # 75717</t>
  </si>
  <si>
    <t>ORANGE # 75715</t>
  </si>
  <si>
    <t>GRAPEFRUIT # 75716</t>
  </si>
  <si>
    <t>STRAWBERRY KIWI # 02144</t>
  </si>
  <si>
    <t>STRAWBERRY ORANGE # 75716</t>
  </si>
  <si>
    <t>FRUIT MEDLEY # 02145</t>
  </si>
  <si>
    <t xml:space="preserve">FRUIT, JUICE, NAKED </t>
  </si>
  <si>
    <t>NAKED JUICE</t>
  </si>
  <si>
    <t>8/10  oz</t>
  </si>
  <si>
    <t>PEPSICO - NAKED JUICE OR EQUAL TO</t>
  </si>
  <si>
    <t>MIGHTY MANGO # 63072</t>
  </si>
  <si>
    <t>BERRY BLAST # 63117</t>
  </si>
  <si>
    <t>GREEN MACHINE # 63076</t>
  </si>
  <si>
    <t>STRAWBERRY BANANA # 63071</t>
  </si>
  <si>
    <t>BLUE MACHINE # 01037</t>
  </si>
  <si>
    <t>FRUIT, DRY, MANDARIN ORANGES</t>
  </si>
  <si>
    <r>
      <rPr>
        <sz val="9"/>
        <color theme="1"/>
        <rFont val="Arial"/>
      </rPr>
      <t>Whole mandarin oranges packed in</t>
    </r>
    <r>
      <rPr>
        <b/>
        <sz val="9"/>
        <color theme="1"/>
        <rFont val="Arial"/>
      </rPr>
      <t xml:space="preserve"> light syrup         </t>
    </r>
  </si>
  <si>
    <t xml:space="preserve">  WORLD #14919  or Equal To 
</t>
  </si>
  <si>
    <t xml:space="preserve">FRUIT, DRY, PEACHES </t>
  </si>
  <si>
    <r>
      <rPr>
        <sz val="9"/>
        <color theme="1"/>
        <rFont val="Arial"/>
      </rPr>
      <t xml:space="preserve">Peaches, sliced choice  *USA*    </t>
    </r>
    <r>
      <rPr>
        <b/>
        <sz val="9"/>
        <color theme="1"/>
        <rFont val="Arial"/>
      </rPr>
      <t xml:space="preserve"> light syrup</t>
    </r>
  </si>
  <si>
    <t xml:space="preserve">ORCHARD #24416  or Equal To
</t>
  </si>
  <si>
    <t>FRUIT, DRY, PEARS</t>
  </si>
  <si>
    <r>
      <rPr>
        <sz val="9"/>
        <color theme="1"/>
        <rFont val="Arial"/>
      </rPr>
      <t>Pears, sliced , choice in</t>
    </r>
    <r>
      <rPr>
        <b/>
        <sz val="9"/>
        <color theme="1"/>
        <rFont val="Arial"/>
      </rPr>
      <t xml:space="preserve"> juice</t>
    </r>
    <r>
      <rPr>
        <sz val="9"/>
        <color theme="1"/>
        <rFont val="Arial"/>
      </rPr>
      <t xml:space="preserve"> *USA*            </t>
    </r>
  </si>
  <si>
    <t xml:space="preserve"> SUNSOURCE MERIT #00122 or Equal To
</t>
  </si>
  <si>
    <t>FRUIT, DRY, PINEAPPLE</t>
  </si>
  <si>
    <t xml:space="preserve">Pineapple Chunks in Clarified Juice is a canned food prepared from small, </t>
  </si>
  <si>
    <t xml:space="preserve"> DEL MONTE #00157 or Equal To</t>
  </si>
  <si>
    <t xml:space="preserve">wedge-shaped sections of pineapple with clarified juice as the packing medium. </t>
  </si>
  <si>
    <r>
      <rPr>
        <b/>
        <sz val="9"/>
        <color theme="1"/>
        <rFont val="Arial"/>
      </rPr>
      <t xml:space="preserve">No sulfites added. </t>
    </r>
    <r>
      <rPr>
        <sz val="9"/>
        <color rgb="FFFF0000"/>
        <rFont val="Arial"/>
      </rPr>
      <t xml:space="preserve">  (Delmonte or Dole required, no off brands please)</t>
    </r>
    <r>
      <rPr>
        <sz val="9"/>
        <color theme="1"/>
        <rFont val="Arial"/>
      </rPr>
      <t xml:space="preserve">  </t>
    </r>
  </si>
  <si>
    <t>FRUIT, DRY, RAISELS</t>
  </si>
  <si>
    <t>Golden Raisins lightly coated with sugar and fruity flavors.</t>
  </si>
  <si>
    <t>RAISELS -SOUR LEMON BLAST- 00586</t>
  </si>
  <si>
    <t>RAISELS -SOUR ORANGE - 00587</t>
  </si>
  <si>
    <t>RAISELS -SOUR WATERMELON-00588</t>
  </si>
  <si>
    <t>200/1.3z</t>
  </si>
  <si>
    <t xml:space="preserve">RAISELS - TROPICAL  - </t>
  </si>
  <si>
    <t>RAISELS - GRAPE - 10569</t>
  </si>
  <si>
    <t>RAISELS - FRUIT SPLASH- 00589</t>
  </si>
  <si>
    <t>FRUIT, DRY, RAISINS</t>
  </si>
  <si>
    <t>RAISINS SELECT SEEDLESS</t>
  </si>
  <si>
    <t>144/1.3Z</t>
  </si>
  <si>
    <t>1.3 OZ BOXES=1/4 C. FRUIT</t>
  </si>
  <si>
    <t>Azar 7225510</t>
  </si>
  <si>
    <t>FRUIT, FROZEN, BLACKBERRIES</t>
  </si>
  <si>
    <t>BLACKBERRIESE, FRESH, IQF</t>
  </si>
  <si>
    <t>Coloma  01261</t>
  </si>
  <si>
    <t>FRUIT, FROZEN, BLUEBERRIES</t>
  </si>
  <si>
    <t>BLUEBERRIES, FRESH, IQF</t>
  </si>
  <si>
    <t>COLOMA</t>
  </si>
  <si>
    <t>FRUIT, FROZEN, CHERRIES</t>
  </si>
  <si>
    <t xml:space="preserve">Red tart pitted Cherries, IQF                 </t>
  </si>
  <si>
    <t>Coloma 255/43003</t>
  </si>
  <si>
    <t xml:space="preserve">Dark Sweet Pitted Cherries, IQF       </t>
  </si>
  <si>
    <t>4/40Z</t>
  </si>
  <si>
    <r>
      <rPr>
        <sz val="9"/>
        <color theme="1"/>
        <rFont val="Arial"/>
      </rPr>
      <t>Coloma #141</t>
    </r>
    <r>
      <rPr>
        <sz val="9"/>
        <color theme="1"/>
        <rFont val="Arial"/>
      </rPr>
      <t xml:space="preserve">
</t>
    </r>
  </si>
  <si>
    <t>FRUIT, FROZEN, FRUIT DELUXE, IQF</t>
  </si>
  <si>
    <t xml:space="preserve">IQF Mixed Fruit-Peaches, Strawberries, Pineapple, Honeydew Melons </t>
  </si>
  <si>
    <t xml:space="preserve"> and Red Seedless Grapes.             </t>
  </si>
  <si>
    <t>DOLE 16511</t>
  </si>
  <si>
    <t>FRUIT, FROZEN, MIXED BERRIES</t>
  </si>
  <si>
    <t>IQF Fresh Frozen Mixed Berry Blend ( strawberries, red raspberries, black berries,</t>
  </si>
  <si>
    <t>DOLE # 71202-06411</t>
  </si>
  <si>
    <t xml:space="preserve"> &amp; blueberries)                 APPROX. 50-1/2c PER 10#                         </t>
  </si>
  <si>
    <t>1/2c SRV</t>
  </si>
  <si>
    <t>FRUIT, FROZEN, MOSTLY MICHIGN</t>
  </si>
  <si>
    <t xml:space="preserve">IQF Mixed fruit- APPLES,(SALT, CITRIC AND ASCROBIC ACID USED A </t>
  </si>
  <si>
    <t>PRESERVATIVES:, PEACHES, STRAWBERRIES, PINEAPPLE, SWEET</t>
  </si>
  <si>
    <t>Coloma 179</t>
  </si>
  <si>
    <t>CHERRIES.</t>
  </si>
  <si>
    <t>FRUIT, FROZEN, SHERBET</t>
  </si>
  <si>
    <t>Luigi's Sherbet-Easy to Spoon creamy texture, Provides 1/4 cup fruit under the CN</t>
  </si>
  <si>
    <t>96/4Z</t>
  </si>
  <si>
    <t>J&amp;J - LUIGI'S ORANGE-38440</t>
  </si>
  <si>
    <t xml:space="preserve"> Program, 100% RDA Vitamin C, Gluten Free, Low sodium</t>
  </si>
  <si>
    <t>LUIGI'S LIME - 38442</t>
  </si>
  <si>
    <t xml:space="preserve">1-4oz preportioned cup = provides 1/4 cup fruit serving           </t>
  </si>
  <si>
    <t>FRUIT, FROZEN, STRAWBERRY DICED</t>
  </si>
  <si>
    <t xml:space="preserve">IQF Diced Strawberries </t>
  </si>
  <si>
    <t>Dole 17951</t>
  </si>
  <si>
    <t>FRUIT, FROZEN, STRAWBERRY WHL</t>
  </si>
  <si>
    <t>IQF Whole Frozen Strawberries</t>
  </si>
  <si>
    <t>Unipro 62252/43306</t>
  </si>
  <si>
    <t>FRUIT, FROZEN, 100% JUICE K PAKS</t>
  </si>
  <si>
    <r>
      <rPr>
        <sz val="9"/>
        <color theme="1"/>
        <rFont val="Arial"/>
      </rPr>
      <t xml:space="preserve">100% Juice fortified with Calcium, Vit A, C and E.  </t>
    </r>
    <r>
      <rPr>
        <b/>
        <sz val="9"/>
        <color theme="1"/>
        <rFont val="Arial"/>
      </rPr>
      <t>KPAKS</t>
    </r>
  </si>
  <si>
    <t>COUNTRY PURE -ARDMORE K PAKS or Equal To</t>
  </si>
  <si>
    <t>APPLE - 41771</t>
  </si>
  <si>
    <t>We would really like to stay with all Country Pure Juice products.  Our students do</t>
  </si>
  <si>
    <t>APPLE CHERRY - 41760</t>
  </si>
  <si>
    <t xml:space="preserve"> not care for the taste of the Suncup juices. </t>
  </si>
  <si>
    <t>FRUIT PUNCH - 41776</t>
  </si>
  <si>
    <t>GRAPE - 41773</t>
  </si>
  <si>
    <t>ORANGE - 41770</t>
  </si>
  <si>
    <t>ORANGE PINEAPPLE - 41774</t>
  </si>
  <si>
    <t>FRUIT, FROZEN, JUICE V-BLEND</t>
  </si>
  <si>
    <t>4oz. Eco carton, frozen, Pasteurized, 100% juice from concentrate.  No additives or</t>
  </si>
  <si>
    <t>COUNTRY PURE- ARDMOR</t>
  </si>
  <si>
    <t xml:space="preserve">preservatives.  Product must have a vegetable listed as the first (predominant) </t>
  </si>
  <si>
    <t>70/4Z</t>
  </si>
  <si>
    <t>WANGO MANGO - 45711</t>
  </si>
  <si>
    <t xml:space="preserve">ingredient to allow contribution to other "other" or "additional" vegetable requirements </t>
  </si>
  <si>
    <t>CHERRY STAR - 45712</t>
  </si>
  <si>
    <t>as defined by USDA.  Product to include fortification of  Vitamins A, C &amp; E.</t>
  </si>
  <si>
    <t xml:space="preserve"> 1-4oz carton=1/2c. Veg.                                                                   </t>
  </si>
  <si>
    <t>FRUIT, FROZEN, WHOLE FRUIT CUP</t>
  </si>
  <si>
    <r>
      <rPr>
        <sz val="9"/>
        <color theme="1"/>
        <rFont val="Arial"/>
      </rPr>
      <t xml:space="preserve">Whole Fruit premium Frozen 100% Juice Cup                </t>
    </r>
    <r>
      <rPr>
        <b/>
        <sz val="9"/>
        <color theme="1"/>
        <rFont val="Arial"/>
      </rPr>
      <t xml:space="preserve">      1-4.4oz cup=1/2c.fruit</t>
    </r>
  </si>
  <si>
    <t>J&amp;J SNACK or Equal To</t>
  </si>
  <si>
    <t xml:space="preserve">All varieties of WHOLE FRUIT premium frozen juice cups provide up to 1/2 cup </t>
  </si>
  <si>
    <t>96/4.4Z</t>
  </si>
  <si>
    <t>WILD CHERRY - 23060000</t>
  </si>
  <si>
    <t>single strength juice per 4.4 fl. Oz. cup.</t>
  </si>
  <si>
    <t>ORANGE PINE/CHERRY - 23060020</t>
  </si>
  <si>
    <t>MIXED BERRY/LEMONADE - 23060025</t>
  </si>
  <si>
    <t>STRAWBERRY/POM. -23060005</t>
  </si>
  <si>
    <t xml:space="preserve">   FRUIT DRY/FROZEN:</t>
  </si>
  <si>
    <t>VEGETABLES DRY/FROZEN *USA on everything possible*</t>
  </si>
  <si>
    <t>VEG. DRY, BEANS BLACK</t>
  </si>
  <si>
    <t>Beans, black, (Turtle beans), low sodium, dry, canned, whole, US</t>
  </si>
  <si>
    <t xml:space="preserve">SUNSOURCE MERIT #00059
</t>
  </si>
  <si>
    <t>VEG. DRY, BEANS BLACK, SEASONED</t>
  </si>
  <si>
    <t>Beans, Santiago Seasoned vegetarian black beans</t>
  </si>
  <si>
    <t>6/26.9Z</t>
  </si>
  <si>
    <t>Basic American Foods # 60045 or = to</t>
  </si>
  <si>
    <t>VEG. DRY, BEANS GREEN</t>
  </si>
  <si>
    <r>
      <rPr>
        <sz val="9"/>
        <color theme="1"/>
        <rFont val="Arial"/>
      </rPr>
      <t xml:space="preserve">Beans, Green Cut, </t>
    </r>
    <r>
      <rPr>
        <sz val="9"/>
        <color rgb="FFFF0000"/>
        <rFont val="Arial"/>
      </rPr>
      <t>Low Sodium</t>
    </r>
  </si>
  <si>
    <t xml:space="preserve">US Grade A, Blue Lake, 4 sieve.  Beans should be plump, tender, MDW 60 oz. </t>
  </si>
  <si>
    <t>SUNSOURCE MERIT #00079</t>
  </si>
  <si>
    <t>Ranch or short cuts are unacceptable, liquid should be reasonably clear, slightly cloudy.</t>
  </si>
  <si>
    <t>VEG. DRY, BEANS GREAT NORTHERN</t>
  </si>
  <si>
    <t xml:space="preserve">Great Northern Beans, Low Sodium,  dry pack, cooked  144-1/2c srv per cs  </t>
  </si>
  <si>
    <t>SUNSOURCE MERIT</t>
  </si>
  <si>
    <t>VEG. DRY, BEANS LIGHT RED KIDNEY</t>
  </si>
  <si>
    <r>
      <rPr>
        <sz val="9"/>
        <color theme="1"/>
        <rFont val="Arial"/>
      </rPr>
      <t xml:space="preserve">Light Red Kidney Beans in Sauce, </t>
    </r>
    <r>
      <rPr>
        <sz val="9"/>
        <color rgb="FFFF0000"/>
        <rFont val="Arial"/>
      </rPr>
      <t>Low Sodium</t>
    </r>
    <r>
      <rPr>
        <sz val="9"/>
        <color theme="1"/>
        <rFont val="Arial"/>
      </rPr>
      <t>, Canned, Grade A</t>
    </r>
  </si>
  <si>
    <t>VEG. DRY, OLIVES</t>
  </si>
  <si>
    <t xml:space="preserve">MEDIUM PITTED WHOLE RIPE BLACK OLIVES                         </t>
  </si>
  <si>
    <r>
      <rPr>
        <sz val="9"/>
        <color theme="1"/>
        <rFont val="Arial"/>
      </rPr>
      <t>DISTIBUTORS CHOICE WORLD #26657</t>
    </r>
    <r>
      <rPr>
        <sz val="9"/>
        <color theme="1"/>
        <rFont val="Arial"/>
      </rPr>
      <t xml:space="preserve">
</t>
    </r>
  </si>
  <si>
    <t>VEG. DRY, PEPPER, GREEN CHILI</t>
  </si>
  <si>
    <t xml:space="preserve">Green Chili's Diced               </t>
  </si>
  <si>
    <t>27Z</t>
  </si>
  <si>
    <t xml:space="preserve">PALMAS #16025SPL or Equal To 
</t>
  </si>
  <si>
    <t xml:space="preserve">VEG. DRY, PEPPER JALPENO </t>
  </si>
  <si>
    <t xml:space="preserve">Jalapeno Peppers Sliced                                                                         </t>
  </si>
  <si>
    <t>1 GAL</t>
  </si>
  <si>
    <t>ROLAND # 45772 SPL or Equal To</t>
  </si>
  <si>
    <t>VEG. DRY, POTATO MASHED</t>
  </si>
  <si>
    <t>Potato Pearls Natural Mashed Potatoes, Low Sodium</t>
  </si>
  <si>
    <t>12/26.5Z</t>
  </si>
  <si>
    <t>BASIC AMERICAN FOODS - 10426</t>
  </si>
  <si>
    <t xml:space="preserve">360-1/4 cup srv of starchy veg. per cs.                 </t>
  </si>
  <si>
    <t>VEG. DRY, POTATO AU GRATIN</t>
  </si>
  <si>
    <t>Idahoan REAL AU GRATIN Potato Casserole is made from sliced dehydrated</t>
  </si>
  <si>
    <t>12/20.4Z</t>
  </si>
  <si>
    <t>IDAHOAN FOODS- 00888</t>
  </si>
  <si>
    <t>potatoes cut from 100% Idaho potatoes in a savory, seasoned cheese sauce.</t>
  </si>
  <si>
    <t xml:space="preserve">468-1/4 cup srv of starchy veg. per cs.                                        </t>
  </si>
  <si>
    <t>VEG. FROZEN, BLENDS</t>
  </si>
  <si>
    <t xml:space="preserve">VEGETABLES CATALINA BLEND  </t>
  </si>
  <si>
    <t>8/3#</t>
  </si>
  <si>
    <t>SIMPLOT-  66266 or Equal To</t>
  </si>
  <si>
    <t>VEGETABLE. CAPRI BLEND</t>
  </si>
  <si>
    <t xml:space="preserve">NORPAC FOODS- 03181 </t>
  </si>
  <si>
    <t>VEGETABLE. FAJITA BLEND</t>
  </si>
  <si>
    <t>12/32z</t>
  </si>
  <si>
    <t>SIMPLOT -74662</t>
  </si>
  <si>
    <t>VEG. FROZEN, BROCCOLI CUTS</t>
  </si>
  <si>
    <t>Broccoli Florets IQF, US Grade A</t>
  </si>
  <si>
    <t>12/2#</t>
  </si>
  <si>
    <t>THEINN - 43116 or Equal To</t>
  </si>
  <si>
    <t>VEG. FROZEN, CALIFORNIA BLEND</t>
  </si>
  <si>
    <t>Broccoli, Cauliflower, and Carrots mixed frozen blend</t>
  </si>
  <si>
    <t>UNIPRO</t>
  </si>
  <si>
    <t>VEG. FROZEN, CARROTS CRINKLE CT</t>
  </si>
  <si>
    <t xml:space="preserve">Carrots, sliced, crinkle cut, frozen, US Grade A </t>
  </si>
  <si>
    <t xml:space="preserve">DISTRIBUTOR'S CHOICE </t>
  </si>
  <si>
    <t>PACKER 00224</t>
  </si>
  <si>
    <t>VEG. FROZEN,  CORN</t>
  </si>
  <si>
    <t xml:space="preserve">Corn, Sweet, Whole kernel, frozen IQF Grade A                         </t>
  </si>
  <si>
    <t>12/40Z</t>
  </si>
  <si>
    <t>SIMPLOT- 18733 or Equal To</t>
  </si>
  <si>
    <t>VEG. FROZEN, CORN &amp; BEAN BLEND</t>
  </si>
  <si>
    <t>Corn and bean fiesta blend</t>
  </si>
  <si>
    <t>6/2.5#</t>
  </si>
  <si>
    <t>SIMPLOT - 77776</t>
  </si>
  <si>
    <t>VEG. FROZEN, MIXED</t>
  </si>
  <si>
    <t xml:space="preserve">Mixed frozen blend vegetables. US Grade A. </t>
  </si>
  <si>
    <t>20#</t>
  </si>
  <si>
    <t>LAKESIDE</t>
  </si>
  <si>
    <t>VEG. FROZEN, PEAS &amp; CARROTS</t>
  </si>
  <si>
    <t>Peas, green, frozen and diced carrots US Grade A #3 or #4 size</t>
  </si>
  <si>
    <t>VEG. FROZEN, POTATO FRIES, GEN7</t>
  </si>
  <si>
    <r>
      <rPr>
        <sz val="9"/>
        <color theme="1"/>
        <rFont val="Arial"/>
      </rPr>
      <t xml:space="preserve">Generation 7 Fries / Concertina (X14)  </t>
    </r>
    <r>
      <rPr>
        <b/>
        <sz val="9"/>
        <color theme="1"/>
        <rFont val="Arial"/>
      </rPr>
      <t>288-1/2c. srv. per cs.</t>
    </r>
  </si>
  <si>
    <t>6/4.5#</t>
  </si>
  <si>
    <t xml:space="preserve">LAMB WESTON GEN7 Concertina-(X14) </t>
  </si>
  <si>
    <t>US Grade A, ZGTF, 1/2" Crinkle Cut FRENCH FRIES, coated, OVENABLE</t>
  </si>
  <si>
    <t xml:space="preserve">1.5 oz of french fries = 1/2c veg serv(approx. 12 fries) </t>
  </si>
  <si>
    <t xml:space="preserve">VEG. FROZEN, POTATO BABY </t>
  </si>
  <si>
    <t xml:space="preserve">ROASTED BABY BAKERS- Roasted, whole, skin- on baby potatoes with delicate </t>
  </si>
  <si>
    <t>SIMPLOT- 00048</t>
  </si>
  <si>
    <t>skin and buttery yellow flesh. Lightly seasoned with roasted garlic and black pepper.</t>
  </si>
  <si>
    <t xml:space="preserve">72.90SRV =3.29oz -1/2cup srv of starch veg. per cs.   </t>
  </si>
  <si>
    <t>VEG. FROZEN, POTATO BABY 1/2'S</t>
  </si>
  <si>
    <t xml:space="preserve">Flame roasted baby baker halves with a herb and parmesan seasoningl  </t>
  </si>
  <si>
    <t>SIMPLOT - 10071179037927 or Equal To</t>
  </si>
  <si>
    <t xml:space="preserve">71 SRV = 3.38oz - 1/2 srv of starch veg. per cs. </t>
  </si>
  <si>
    <t>VEG. FROZEN, POTATO CRISPY BATTER BITES</t>
  </si>
  <si>
    <t xml:space="preserve">Skin-on, battered, seasoned, random potato cut potatoes.  Prepared in vegetable oil.  To be prepared to US Grade A standards. </t>
  </si>
  <si>
    <t>6/6#</t>
  </si>
  <si>
    <t>SIMPLOT - 10071179477273 or Equal To</t>
  </si>
  <si>
    <t xml:space="preserve">178.88SRV = 3.22oz - 1/2c srv of starch veg per cs    </t>
  </si>
  <si>
    <t>VEG. FROZEN, POTATO DICED  5/8</t>
  </si>
  <si>
    <t xml:space="preserve">Salad Dices- Individual Quick Frozen 5/8" dices.  </t>
  </si>
  <si>
    <t xml:space="preserve"> 6/6#</t>
  </si>
  <si>
    <t>LAMBWESTON -J73</t>
  </si>
  <si>
    <t xml:space="preserve">Prepared in boiling water in just 5 minutes.      Grade A        </t>
  </si>
  <si>
    <t>VEG. FROZEN, POTATO ROSEMARY</t>
  </si>
  <si>
    <t xml:space="preserve">FLAME ROASTED ROSEMARY REDSKINS- 1" IN LENGTH. OVEN- ROASTED </t>
  </si>
  <si>
    <t>SIMPLOT- 757672</t>
  </si>
  <si>
    <t xml:space="preserve">RED POT LIGHTLY SEOSONED W/A  BLEND OF ROSEMARY &amp; SPICES  </t>
  </si>
  <si>
    <t xml:space="preserve">75 srv = 3.20 oz-1/2cup starchy veg. per cs                               </t>
  </si>
  <si>
    <t>VEG. FROZEN, POTATO ROUNDABOUT</t>
  </si>
  <si>
    <t>Lamb's supreme tater roundabouts A@^</t>
  </si>
  <si>
    <t>LAMB WESTON A26</t>
  </si>
  <si>
    <t xml:space="preserve">188.97, 2.54oz srv(11pc per srv) = 1/2 cup starchy veg.              </t>
  </si>
  <si>
    <t>VEG. FROZEN, POTATO, SIDEWINDERS BBQ</t>
  </si>
  <si>
    <t>Simplot Sidewinders Smokey BBQ batter- Original Cut</t>
  </si>
  <si>
    <t>SIMPLOT - 032182</t>
  </si>
  <si>
    <t xml:space="preserve">176.95 srv = 2.17oz-1/2cup starchy veg. per cs                             </t>
  </si>
  <si>
    <t>VEG. FROZEN, POTATO SPUDSTER</t>
  </si>
  <si>
    <t>Original buttery spudsters ZGTF</t>
  </si>
  <si>
    <t>SIMPLOT SPUDSTERS -299028</t>
  </si>
  <si>
    <t xml:space="preserve">1cs of Spudsters 84.6/srv of 7@-1/2c. Starchy veg.            </t>
  </si>
  <si>
    <t>VEG. FROZEN, POTATO SWEET</t>
  </si>
  <si>
    <t xml:space="preserve">Flame Roasted Sweet Potatoes - Lightly seasoned sweet potato chunks with a </t>
  </si>
  <si>
    <t xml:space="preserve">6/2.5# </t>
  </si>
  <si>
    <t>SIMPLOT SWEET - 07561</t>
  </si>
  <si>
    <t xml:space="preserve">hand cut look, oven-roasted in a rich maple glaze. </t>
  </si>
  <si>
    <t xml:space="preserve">62.33SRV =3.85 OZ-1/2 cup srv of red/orange veg. per cs.     </t>
  </si>
  <si>
    <t>VEGETABLES DRY/FROZEN SUB-TOTAL:</t>
  </si>
  <si>
    <t>SUNDRY</t>
  </si>
  <si>
    <t>SUNDRY, BAKING, BUTTER</t>
  </si>
  <si>
    <t xml:space="preserve">Butter Solids Salted Real        </t>
  </si>
  <si>
    <t>36/1#</t>
  </si>
  <si>
    <t xml:space="preserve">Grassland Dairy -3050 or Equal to </t>
  </si>
  <si>
    <t>SUNDRY,BAKING  CAKE MIX, YELLOW</t>
  </si>
  <si>
    <r>
      <rPr>
        <sz val="9"/>
        <color rgb="FF000000"/>
        <rFont val="Arial"/>
      </rPr>
      <t>CAKE MIX YELLOW</t>
    </r>
    <r>
      <rPr>
        <sz val="9"/>
        <color rgb="FFFF0000"/>
        <rFont val="Arial"/>
      </rPr>
      <t xml:space="preserve"> </t>
    </r>
    <r>
      <rPr>
        <b/>
        <sz val="9"/>
        <color rgb="FFFF0000"/>
        <rFont val="Arial"/>
      </rPr>
      <t xml:space="preserve">(PLEASE ONLY BID PILLSBURY -DID TASTE TESTING DIDN'T LIKE OTHER PRODUCT)       </t>
    </r>
  </si>
  <si>
    <t>GENERAL MILLS 11391</t>
  </si>
  <si>
    <t>SUNDRY,BAKING, COCOA DROPS</t>
  </si>
  <si>
    <t xml:space="preserve">COCOA DROPS ROYAL ,4000      </t>
  </si>
  <si>
    <t xml:space="preserve">BLOMER - 36008 or Equal to </t>
  </si>
  <si>
    <t>SUNDRY,BAKING, COCOA POWDER</t>
  </si>
  <si>
    <r>
      <rPr>
        <sz val="9"/>
        <color theme="1"/>
        <rFont val="Arial"/>
      </rPr>
      <t xml:space="preserve">Ambrosia high fat cocoa powder                                                                                                  </t>
    </r>
    <r>
      <rPr>
        <b/>
        <sz val="9"/>
        <color theme="1"/>
        <rFont val="Arial"/>
      </rPr>
      <t>PACK:5#</t>
    </r>
  </si>
  <si>
    <t xml:space="preserve">Ambrosia - 19239-SPL or Equal to </t>
  </si>
  <si>
    <t>SUNDRY,BAKING, CORNBREAD</t>
  </si>
  <si>
    <t xml:space="preserve">Cornbread muffin mix sweet       </t>
  </si>
  <si>
    <t xml:space="preserve">Jiffy - 01041 or Equal to </t>
  </si>
  <si>
    <t>SUNDRY, BAKING, FLOUR</t>
  </si>
  <si>
    <t xml:space="preserve">Flour Ultra Grain T2-Whole grain rich blend 55% ultra grain &amp; 45% white.  </t>
  </si>
  <si>
    <t>50#</t>
  </si>
  <si>
    <t xml:space="preserve">ULTRAGRAIN - 39365 or Equal To </t>
  </si>
  <si>
    <t>SUNDRY, BAKING, MARSHMALLOW MINI</t>
  </si>
  <si>
    <t xml:space="preserve">MARSHMALLOW MINI </t>
  </si>
  <si>
    <t>DISTRIBUITORS CHOICE</t>
  </si>
  <si>
    <t>srv</t>
  </si>
  <si>
    <t>SUNDRY, BAKINIG, MOUSSE MIX</t>
  </si>
  <si>
    <t>MOUSSE MIX FAST  &amp; FANCY</t>
  </si>
  <si>
    <t>12/17Z</t>
  </si>
  <si>
    <t>FIRST Foods 4626900 or Equal To</t>
  </si>
  <si>
    <t>PER BAG</t>
  </si>
  <si>
    <t>SUNDRY, BAKING,  PAN SPRAY</t>
  </si>
  <si>
    <t>Food Release Canola Oil</t>
  </si>
  <si>
    <t>6/17Z</t>
  </si>
  <si>
    <t>UNIPRO PAN COATING CANOLA 61591</t>
  </si>
  <si>
    <t>PER CAN</t>
  </si>
  <si>
    <t>SUNDRY, BAKING, SHORTENING</t>
  </si>
  <si>
    <t xml:space="preserve">VEGETABLE SHORTENING ZERO TRANSFATS </t>
  </si>
  <si>
    <t>12/3#</t>
  </si>
  <si>
    <t xml:space="preserve">CRISCO 51500-24234 or Equal To </t>
  </si>
  <si>
    <t>SUNDRY, BAKING, CHICKEN BROTH</t>
  </si>
  <si>
    <t xml:space="preserve">100% Natural chicken broth 33% less sodium - Natural Goodness </t>
  </si>
  <si>
    <t>12/32Z</t>
  </si>
  <si>
    <t xml:space="preserve">SAWNSON #21957 or Equal To 
</t>
  </si>
  <si>
    <t>SUNDRY, BAKING, BEEF BROTH</t>
  </si>
  <si>
    <t xml:space="preserve">100% Natural beef broth 33% less sodium - Natural Goodness  </t>
  </si>
  <si>
    <t xml:space="preserve">SAWNSON # 21955 or Equal To </t>
  </si>
  <si>
    <t>SUNDRY, BAKING, SUGAR</t>
  </si>
  <si>
    <t xml:space="preserve">Truvia brown sugar baking blend                                       </t>
  </si>
  <si>
    <t>8/18Z</t>
  </si>
  <si>
    <t xml:space="preserve">TRUVIA # 110013157 or equal to </t>
  </si>
  <si>
    <t xml:space="preserve">Brown, medium, 25 Pound bags preferred ………………         </t>
  </si>
  <si>
    <t xml:space="preserve">DOMINO or Equal To </t>
  </si>
  <si>
    <t>Granulated, 25 pound bags preferred ……………………</t>
  </si>
  <si>
    <t xml:space="preserve">Powdered, 25 pound bags preferred …………………… </t>
  </si>
  <si>
    <t>SUNDRY, BAKING, VANILLA</t>
  </si>
  <si>
    <t xml:space="preserve">Vanilla Flavoring         </t>
  </si>
  <si>
    <t>32Z</t>
  </si>
  <si>
    <t>QUART</t>
  </si>
  <si>
    <t>SUNDRY, BAKING, VINEGAR</t>
  </si>
  <si>
    <t xml:space="preserve">Vinegar white distilled 5%                    </t>
  </si>
  <si>
    <t>4/1 GAL</t>
  </si>
  <si>
    <t>WOEBER 00212 or Equal To</t>
  </si>
  <si>
    <t>SUNDRY, CONDIMENT, JELLY</t>
  </si>
  <si>
    <t xml:space="preserve">JELLY, CONCORD GRAPE, 1/2 OZ                </t>
  </si>
  <si>
    <t>200/.5Z</t>
  </si>
  <si>
    <t xml:space="preserve">SMUCKER'S 00764 or Equal To </t>
  </si>
  <si>
    <t>SUNDRY, CONDIMENT, BUTTER</t>
  </si>
  <si>
    <t xml:space="preserve">Real Butter whipped cups 5gm     </t>
  </si>
  <si>
    <t>720/5GM</t>
  </si>
  <si>
    <t>GRASSLAND - 7000</t>
  </si>
  <si>
    <t>SUNDRY,CONDIMENT, MIRACLE WHIP</t>
  </si>
  <si>
    <t>Kraft Miracle Whip "Lite" Dressing=half the calories and fat with all the tangy zip.</t>
  </si>
  <si>
    <t>200/12GM</t>
  </si>
  <si>
    <t>KRAFT 66366</t>
  </si>
  <si>
    <t xml:space="preserve">PACK: 200/12.4g </t>
  </si>
  <si>
    <t xml:space="preserve">SUNDRY, CONDIMENT, MUSTARD </t>
  </si>
  <si>
    <t>Mustard packets</t>
  </si>
  <si>
    <t>PACK:500/4.5 gram per case</t>
  </si>
  <si>
    <t>500/5.5GM</t>
  </si>
  <si>
    <r>
      <rPr>
        <sz val="9"/>
        <color theme="1"/>
        <rFont val="Arial"/>
      </rPr>
      <t>Americana</t>
    </r>
    <r>
      <rPr>
        <sz val="9"/>
        <color theme="1"/>
        <rFont val="Arial"/>
      </rPr>
      <t xml:space="preserve"> #7002220</t>
    </r>
  </si>
  <si>
    <t>SUNDRY, CONDIMENT, PICKLE DILL</t>
  </si>
  <si>
    <r>
      <rPr>
        <sz val="9"/>
        <color theme="1"/>
        <rFont val="Arial"/>
      </rPr>
      <t xml:space="preserve">Processed Hamburger Dill Slice Pickles </t>
    </r>
    <r>
      <rPr>
        <sz val="9"/>
        <color rgb="FFFF0000"/>
        <rFont val="Arial"/>
      </rPr>
      <t>(370mg sodium per 7 slices of pickle)</t>
    </r>
  </si>
  <si>
    <t>5GAL</t>
  </si>
  <si>
    <t>BAY VALLEY - #09522840202</t>
  </si>
  <si>
    <t>PACK: 5 GAL-APPROX. 2000 -1/8" KK SLICES</t>
  </si>
  <si>
    <t>SUNDRY, CONDIMENT, SOUR CREAM</t>
  </si>
  <si>
    <t xml:space="preserve">Sour Cream Portion control packets, 1oz  </t>
  </si>
  <si>
    <t>100/1Z</t>
  </si>
  <si>
    <t xml:space="preserve">DAISY BRANDS 20100 </t>
  </si>
  <si>
    <t xml:space="preserve">Sour Cream  Regular                                                                           </t>
  </si>
  <si>
    <t>24/1.5#</t>
  </si>
  <si>
    <t>DAISY BRANDS 1007320003156</t>
  </si>
  <si>
    <t>SUNDRY, CONDIMENT, SYRUP</t>
  </si>
  <si>
    <t>Syrup pancake, sugar free 1 oz cup</t>
  </si>
  <si>
    <t>CF SAUER - 06384</t>
  </si>
  <si>
    <t>SUNDRY, BAKING, SYRUP</t>
  </si>
  <si>
    <t xml:space="preserve">Syrup pancake, Log Cabin                                   </t>
  </si>
  <si>
    <t>12/24Z</t>
  </si>
  <si>
    <t>CNTRYK - 43000-00066 or Equal To</t>
  </si>
  <si>
    <t>SUNDRY, CONDIMENT, TACO SAUCE</t>
  </si>
  <si>
    <t>Sauce Taco individual 9 gram packets</t>
  </si>
  <si>
    <t>500/9GM</t>
  </si>
  <si>
    <t>AMERICANA #00248</t>
  </si>
  <si>
    <t>SUNDRY, CONDIMENT, HOT SAUCE</t>
  </si>
  <si>
    <t xml:space="preserve">Sauce hot Texas Pete  </t>
  </si>
  <si>
    <t>200/7GM</t>
  </si>
  <si>
    <t>TEXAS # 00003- or Equal To</t>
  </si>
  <si>
    <t>SUNDRY, CONDIMENT, TARTAR SAUCE</t>
  </si>
  <si>
    <t xml:space="preserve">Tartar Sauce individual 12 gm sqz packets  </t>
  </si>
  <si>
    <t xml:space="preserve">KRAFT - # 66486 or Equal To </t>
  </si>
  <si>
    <t>SUNDRY, DRINK MIX</t>
  </si>
  <si>
    <r>
      <rPr>
        <sz val="9"/>
        <color theme="1"/>
        <rFont val="Arial"/>
      </rPr>
      <t>DRINK MIX each package makes 2 Gallons of product</t>
    </r>
    <r>
      <rPr>
        <b/>
        <sz val="9"/>
        <color theme="1"/>
        <rFont val="Arial"/>
      </rPr>
      <t xml:space="preserve">     </t>
    </r>
  </si>
  <si>
    <t>12/21.6Z</t>
  </si>
  <si>
    <t>DOMNDE LEMONADE- 1502</t>
  </si>
  <si>
    <t xml:space="preserve">DOMNDE PUNCH -1503 OR EQUAL TO </t>
  </si>
  <si>
    <t>SUNDRY, DRESSING, RANCH FF</t>
  </si>
  <si>
    <t xml:space="preserve">Single serve cup of traditional creamy ranch dressing w/out the fat.   </t>
  </si>
  <si>
    <t>120/1Z</t>
  </si>
  <si>
    <t xml:space="preserve">MARZETTI'S - 83985 or Equal To </t>
  </si>
  <si>
    <t>SUNDRY, DRESSING, RANCH MIX, PWD</t>
  </si>
  <si>
    <t>Original Ranch Dressing Mix</t>
  </si>
  <si>
    <t>18/3.2 oz pouch</t>
  </si>
  <si>
    <t>Chef's Companion # 57075 or Equal To</t>
  </si>
  <si>
    <t>SUNDRY, DRESSING,BBQ SAUCE</t>
  </si>
  <si>
    <t xml:space="preserve">Sweet Hickory BBQ Sauce, Gluten Free, No high fructose corn syrup.  </t>
  </si>
  <si>
    <t>4/154Z</t>
  </si>
  <si>
    <t>COOKIE- 10503 or Equal To</t>
  </si>
  <si>
    <t>SUNDRY, DRESSING BALSAMIC VINAIGRETTE</t>
  </si>
  <si>
    <t xml:space="preserve">BALSAMIC VINAIGRETTE              </t>
  </si>
  <si>
    <t xml:space="preserve">MARZETTI'S 83201 or Equal To </t>
  </si>
  <si>
    <t>SUNDRY, DRESSING ITALIAN FF</t>
  </si>
  <si>
    <t xml:space="preserve">Dressing Italian fat free     </t>
  </si>
  <si>
    <t xml:space="preserve">MARZETTI'S 80087SPL or Equal To </t>
  </si>
  <si>
    <t>SUNDRY, DRESSING RANCH BULK</t>
  </si>
  <si>
    <t xml:space="preserve">Reduced calorie Ranch Dressing     </t>
  </si>
  <si>
    <t>OTT'S 01512 or Equal To</t>
  </si>
  <si>
    <t>SUNDRY, DRESSING MIRACLE WHIP LITE</t>
  </si>
  <si>
    <t xml:space="preserve">Miracle Whip, lite salad dressing    </t>
  </si>
  <si>
    <t xml:space="preserve">KRAFT - 64710 or Equal To </t>
  </si>
  <si>
    <t>SUNDRY, GRAVY PEPPERED L/S</t>
  </si>
  <si>
    <t xml:space="preserve">Conestoga Low Sodium Peppered Gravy Mix        </t>
  </si>
  <si>
    <t>12/12Z</t>
  </si>
  <si>
    <t>C.H. GUENTHER&amp;SON, INC. -99484</t>
  </si>
  <si>
    <t>SUNDRY, GRAY BEEF L/S</t>
  </si>
  <si>
    <t xml:space="preserve">Pioneer Low Sodium Roasted Beef Gravy Mix made with W/G  </t>
  </si>
  <si>
    <t>6/13Z</t>
  </si>
  <si>
    <t xml:space="preserve">PIONEER - 212646 or Equal To </t>
  </si>
  <si>
    <t>SUNDRY, GRAVY CHICKEN L/S</t>
  </si>
  <si>
    <t xml:space="preserve">Pioneer Low Sodium Roasted Chicken Gravy Mix made with W/G    </t>
  </si>
  <si>
    <t>6/14Z</t>
  </si>
  <si>
    <t xml:space="preserve">PIONEER - 212645  or Equal To </t>
  </si>
  <si>
    <t>SUNDRY, MILK DRY</t>
  </si>
  <si>
    <t>Agglomerated Instant Nonfat Dry Milk made from fresh, wholesome milk w/moisture</t>
  </si>
  <si>
    <t>DISTIBUTOR'S CHOICE</t>
  </si>
  <si>
    <t xml:space="preserve">removed, rich in calcium and proteins.                              </t>
  </si>
  <si>
    <r>
      <rPr>
        <sz val="9"/>
        <color theme="1"/>
        <rFont val="Arial"/>
      </rPr>
      <t xml:space="preserve"> Sturm </t>
    </r>
    <r>
      <rPr>
        <sz val="9"/>
        <color theme="1"/>
        <rFont val="Arial"/>
      </rPr>
      <t xml:space="preserve"> #33227201836</t>
    </r>
  </si>
  <si>
    <t>SUNDRY, WATER</t>
  </si>
  <si>
    <t xml:space="preserve">WATER SPRING FLAT CAP              </t>
  </si>
  <si>
    <t>24/16.9Z</t>
  </si>
  <si>
    <t xml:space="preserve">INTEG # 17040 OR EQUAL TO </t>
  </si>
  <si>
    <t>SUNDRY, TEA</t>
  </si>
  <si>
    <r>
      <rPr>
        <b/>
        <sz val="9"/>
        <color theme="1"/>
        <rFont val="Arial"/>
      </rPr>
      <t xml:space="preserve">TEA BAGS ICED 1OZ                   </t>
    </r>
    <r>
      <rPr>
        <sz val="9"/>
        <color theme="1"/>
        <rFont val="Arial"/>
      </rPr>
      <t xml:space="preserve">                        </t>
    </r>
  </si>
  <si>
    <t>96/1Z</t>
  </si>
  <si>
    <t>Distributor's Choice JPT 83810</t>
  </si>
  <si>
    <t>SUNDRY SUB-TOTAL:</t>
  </si>
  <si>
    <t>DAIRY/DAIRY ALTERNATIVES</t>
  </si>
  <si>
    <t>SUNDRY, MILK, ICE CREAM FUDGE B.</t>
  </si>
  <si>
    <t xml:space="preserve">Blue ribbon classics fudge bar.      </t>
  </si>
  <si>
    <t>48/3Z</t>
  </si>
  <si>
    <t xml:space="preserve">BLUE BUNNY OR EQUAL TO </t>
  </si>
  <si>
    <t>FUDGE BAR - 1027703</t>
  </si>
  <si>
    <t>SUNDRY, MILK, ICE CREAM, ORANGE DREAM BAR</t>
  </si>
  <si>
    <t xml:space="preserve">Orange dream bar vanilla flavored red. Fat ice cream orange ff sherbet shell. </t>
  </si>
  <si>
    <t>ORANGE DREAM BAR- 1027728</t>
  </si>
  <si>
    <t>SUNDRY, MILK, ICE CREAM, VANILLA CONE</t>
  </si>
  <si>
    <t xml:space="preserve">Vanilla LF ice cream w/fudge ribbon in a sugar cone dipped in cookie pc.  </t>
  </si>
  <si>
    <t>VANILLA FUDGE SWIRL - 1098045</t>
  </si>
  <si>
    <t>SUNDRY, MILK, ICE CREAM, COOKIES'N CREAM CONE</t>
  </si>
  <si>
    <t xml:space="preserve">Cookies'n Cream LF ice cream in a choc. Sugar cone dipped in choc.       </t>
  </si>
  <si>
    <t>48/2.5Z</t>
  </si>
  <si>
    <t>COOKIES N' CREAM - 1114994</t>
  </si>
  <si>
    <t>SUNDRY, MILK, ICE CREAM SAND.</t>
  </si>
  <si>
    <t>Ice cream sandwich LF- vanilla flavored reduced fat ice cream sandwiched</t>
  </si>
  <si>
    <t>96/3Z</t>
  </si>
  <si>
    <t>SANDWICH - 1097801</t>
  </si>
  <si>
    <t xml:space="preserve">between 2 chocolate flavored wafers                                  </t>
  </si>
  <si>
    <t>SUNDRY, MILK, ICE CREAM, SUNDAE CHOC</t>
  </si>
  <si>
    <t xml:space="preserve">Cool Daze low fat chocolate sundae crunch bar  </t>
  </si>
  <si>
    <t>144/3Z</t>
  </si>
  <si>
    <t>LF CHOC - 1143526</t>
  </si>
  <si>
    <t>SUNDRY, MILK, ICE CREAM, SUNDAE STRAWBERRY</t>
  </si>
  <si>
    <t xml:space="preserve">Cool Daze low fat strawberry sundae crunch bar            </t>
  </si>
  <si>
    <r>
      <rPr>
        <sz val="9"/>
        <color theme="1"/>
        <rFont val="Arial"/>
      </rPr>
      <t>LF STRAW-</t>
    </r>
    <r>
      <rPr>
        <strike/>
        <sz val="9"/>
        <color theme="1"/>
        <rFont val="Arial"/>
      </rPr>
      <t xml:space="preserve"> </t>
    </r>
    <r>
      <rPr>
        <sz val="9"/>
        <color theme="1"/>
        <rFont val="Arial"/>
      </rPr>
      <t xml:space="preserve"> #1028011</t>
    </r>
  </si>
  <si>
    <t>SUNDRY, MILK, PUDDING</t>
  </si>
  <si>
    <t xml:space="preserve">Pudding butterscotch TFF cup                           </t>
  </si>
  <si>
    <t>48/3.5Z</t>
  </si>
  <si>
    <r>
      <rPr>
        <sz val="9"/>
        <color theme="1"/>
        <rFont val="Arial"/>
      </rPr>
      <t xml:space="preserve">FRESH - </t>
    </r>
    <r>
      <rPr>
        <sz val="9"/>
        <color theme="1"/>
        <rFont val="Arial"/>
      </rPr>
      <t>or Equal To #30895</t>
    </r>
  </si>
  <si>
    <t xml:space="preserve">Pudding chocolate TFF cup                                                        </t>
  </si>
  <si>
    <r>
      <rPr>
        <sz val="9"/>
        <color theme="1"/>
        <rFont val="Arial"/>
      </rPr>
      <t xml:space="preserve">FRESH - </t>
    </r>
    <r>
      <rPr>
        <sz val="9"/>
        <color theme="1"/>
        <rFont val="Arial"/>
      </rPr>
      <t>or Equal To #30889</t>
    </r>
  </si>
  <si>
    <t xml:space="preserve">Pudding vanilla TFF cup        </t>
  </si>
  <si>
    <r>
      <rPr>
        <sz val="9"/>
        <color theme="1"/>
        <rFont val="Arial"/>
      </rPr>
      <t xml:space="preserve">FRESH - </t>
    </r>
    <r>
      <rPr>
        <sz val="9"/>
        <color theme="1"/>
        <rFont val="Arial"/>
      </rPr>
      <t>or Equal To #30891</t>
    </r>
  </si>
  <si>
    <t>SUNDRY, MILK SOY</t>
  </si>
  <si>
    <t>Soy milk 8.25oz aseptic boxes, shelf stable</t>
  </si>
  <si>
    <t>KIKKOMAN PEARL chocolate #6185</t>
  </si>
  <si>
    <t xml:space="preserve">CHOCOLATE AND VANILLA                                               </t>
  </si>
  <si>
    <t>KIKKOMAN PEARL  vanilla #6184</t>
  </si>
  <si>
    <t>SUNDRY, MILK ALMOND</t>
  </si>
  <si>
    <t>Almond milk 8oz aseptic boxes, shelf stable</t>
  </si>
  <si>
    <t>18/8Z</t>
  </si>
  <si>
    <t>KIKKOMAN PEARL chocolate #136460</t>
  </si>
  <si>
    <t xml:space="preserve">CHOCOLATE AND VANILLA                                                           </t>
  </si>
  <si>
    <t>KIKKOMAN PEARL  vanilla #136461</t>
  </si>
  <si>
    <t>DAIRY/DAIRY ALTERNATIVES SUB-TOTAL:</t>
  </si>
  <si>
    <t xml:space="preserve">SPICES </t>
  </si>
  <si>
    <t>SPICES, ALLSPICE</t>
  </si>
  <si>
    <t>Allspice Ground</t>
  </si>
  <si>
    <t>16Z</t>
  </si>
  <si>
    <t>CONTAINER</t>
  </si>
  <si>
    <t>MCCORMICK #932405</t>
  </si>
  <si>
    <t>SPICES, BASIL</t>
  </si>
  <si>
    <t>Basil Leaves</t>
  </si>
  <si>
    <t>5Z</t>
  </si>
  <si>
    <t>SPICES, CINNAMON</t>
  </si>
  <si>
    <t>Cinnamon Ground</t>
  </si>
  <si>
    <t xml:space="preserve">DISTRIBUTORS CHOICE </t>
  </si>
  <si>
    <t>HIGHLAND MARKET #1868701051</t>
  </si>
  <si>
    <t>SPICES, CHILI POWDER</t>
  </si>
  <si>
    <t xml:space="preserve">Finest dark chili powder                                                               </t>
  </si>
  <si>
    <t>HIGHLAND MARKET #1868701026</t>
  </si>
  <si>
    <t>SPICES, CREAM OF TARTAR</t>
  </si>
  <si>
    <t>CREAM OF TARTAR</t>
  </si>
  <si>
    <t>24Z</t>
  </si>
  <si>
    <t>HIGHLAND MARKET #03351</t>
  </si>
  <si>
    <t>SPICES, CUMIN GROUND</t>
  </si>
  <si>
    <t xml:space="preserve">Ground cumin                     </t>
  </si>
  <si>
    <t>HIGHLAND MARET #03352</t>
  </si>
  <si>
    <t>SPICES, GARLIC POWDER</t>
  </si>
  <si>
    <t>Garlic Powder</t>
  </si>
  <si>
    <t>19Z</t>
  </si>
  <si>
    <t>HIGHLAND MARKET #03479</t>
  </si>
  <si>
    <t>SPICES, GINGER GROUND</t>
  </si>
  <si>
    <t>Ground Ginger</t>
  </si>
  <si>
    <t>14Z</t>
  </si>
  <si>
    <t>CODE #6250</t>
  </si>
  <si>
    <t>SPICES, ITALIAN SEASONING</t>
  </si>
  <si>
    <t>Italian Seasoning Chopped</t>
  </si>
  <si>
    <t>6Z</t>
  </si>
  <si>
    <t>HIGHLAND MARKET #03450</t>
  </si>
  <si>
    <t>SPICES, MONTREAL STEAK SEASONING</t>
  </si>
  <si>
    <r>
      <rPr>
        <sz val="9"/>
        <color theme="1"/>
        <rFont val="Arial"/>
      </rPr>
      <t xml:space="preserve">Montreal Steak Seasoning                                                                                              </t>
    </r>
    <r>
      <rPr>
        <b/>
        <sz val="9"/>
        <color theme="1"/>
        <rFont val="Arial"/>
      </rPr>
      <t>PACK:29 oz</t>
    </r>
  </si>
  <si>
    <t>29 Z</t>
  </si>
  <si>
    <t>McCormick - 900223228 or Equal To</t>
  </si>
  <si>
    <t>SPICES, MUSTARD GROUND</t>
  </si>
  <si>
    <t>Mustard ground</t>
  </si>
  <si>
    <t>HIGHLAND MARKET #03377</t>
  </si>
  <si>
    <t>SPICES, NUTMEG</t>
  </si>
  <si>
    <t>Nutmeg ground</t>
  </si>
  <si>
    <t>HIGHLAND MARKET #03379</t>
  </si>
  <si>
    <t>SPICES, ONION FLAKES</t>
  </si>
  <si>
    <t>Dehydrated onion flakes</t>
  </si>
  <si>
    <t>Olam 1003609</t>
  </si>
  <si>
    <t>SPICES, ONION POWDER</t>
  </si>
  <si>
    <t>Onion Powder</t>
  </si>
  <si>
    <t>20Z</t>
  </si>
  <si>
    <t>HIGHLAND MARKET #03482</t>
  </si>
  <si>
    <t>SPICES, OREGANO</t>
  </si>
  <si>
    <t>Oregano Leaves</t>
  </si>
  <si>
    <t>HIGHLAND MARKET #03456</t>
  </si>
  <si>
    <t>SPICES, PAPRIKA</t>
  </si>
  <si>
    <t>Paprika Finest Extra Fancy</t>
  </si>
  <si>
    <t>HIGHLAND MARKET #03384</t>
  </si>
  <si>
    <t>SPICES, PARSLEY</t>
  </si>
  <si>
    <t>Parsley Flakes</t>
  </si>
  <si>
    <t>2Z</t>
  </si>
  <si>
    <t>HIGHLAND MARKE T#03390</t>
  </si>
  <si>
    <t>SPICES, PEPPER</t>
  </si>
  <si>
    <t xml:space="preserve">Pepper Black Ground                     </t>
  </si>
  <si>
    <t>DISTRIBUTORS CHOICE HIGHLAND MARKET #03302</t>
  </si>
  <si>
    <t xml:space="preserve">Pepper Cayenne                              </t>
  </si>
  <si>
    <t>HIGHLAND MARKET #03393</t>
  </si>
  <si>
    <t xml:space="preserve">Pepper White Ground             </t>
  </si>
  <si>
    <t>1#</t>
  </si>
  <si>
    <t>HIGHLAND MARKET #03405</t>
  </si>
  <si>
    <t xml:space="preserve">Pepper Lemon Salt Free                </t>
  </si>
  <si>
    <t>26#</t>
  </si>
  <si>
    <t>HIGHLAND MARKET #03428</t>
  </si>
  <si>
    <t>SPICES, POULTRY</t>
  </si>
  <si>
    <t>Poultry Seasoning</t>
  </si>
  <si>
    <t>10Z</t>
  </si>
  <si>
    <t>Code 7480</t>
  </si>
  <si>
    <t>SPICES, SAGE</t>
  </si>
  <si>
    <t>Rubbed Sage</t>
  </si>
  <si>
    <t>HIGHLAND MARKET #03412</t>
  </si>
  <si>
    <t>SPICES, THYME</t>
  </si>
  <si>
    <t>Thyme Ground</t>
  </si>
  <si>
    <t>12Z</t>
  </si>
  <si>
    <t>HIGHLAND MARKET #03432</t>
  </si>
  <si>
    <t>SPICES, SALT FREE</t>
  </si>
  <si>
    <t>Spices &amp; Seasoning Salt Free to use at flavor station for kids.</t>
  </si>
  <si>
    <t>3/21Z</t>
  </si>
  <si>
    <t>DISTRIBUTORS CHOICE- MRS. DASH 
#80260328 used in extention</t>
  </si>
  <si>
    <t>List flavors available with PACK size on Tab 3</t>
  </si>
  <si>
    <t xml:space="preserve">SPICES SUB TOTAL:     </t>
  </si>
  <si>
    <t>PAPER/CHEMICAL SUPPLIES</t>
  </si>
  <si>
    <t>PAPER,  3 COMP FOAM HINGED</t>
  </si>
  <si>
    <t>3 COMPARTMENT TRAY- Foam with hinged lid w/safety lock lid 9.5 X 9.25 X 3</t>
  </si>
  <si>
    <t>200CT</t>
  </si>
  <si>
    <t>DART 95HTPF3</t>
  </si>
  <si>
    <t>PAPER, 5 COMP TRAY</t>
  </si>
  <si>
    <t>5 COMPARTMENT TRAY - 8.25x10.25</t>
  </si>
  <si>
    <t>4/125CT</t>
  </si>
  <si>
    <t>Pactiv YTH1-0500</t>
  </si>
  <si>
    <t>PAPER, 5 COMP TRAY, COMPOSTABLE</t>
  </si>
  <si>
    <t>5 COMPARTMENT TRAY Enviroware</t>
  </si>
  <si>
    <t>500CT</t>
  </si>
  <si>
    <t>DISTRIBUTOR'S  CHOICE- D&amp;W #FTD-500-CMP</t>
  </si>
  <si>
    <t>PAPER, BAGS RECLOSABLE</t>
  </si>
  <si>
    <t>Low Density Reclosable Bags</t>
  </si>
  <si>
    <t xml:space="preserve">SANDWICH </t>
  </si>
  <si>
    <t>500 CT</t>
  </si>
  <si>
    <t>Inteplast RZIP-SAND</t>
  </si>
  <si>
    <r>
      <rPr>
        <sz val="9"/>
        <color theme="1"/>
        <rFont val="Arial"/>
      </rPr>
      <t>QUART</t>
    </r>
    <r>
      <rPr>
        <b/>
        <sz val="9"/>
        <color theme="1"/>
        <rFont val="Arial"/>
      </rPr>
      <t xml:space="preserve"> </t>
    </r>
  </si>
  <si>
    <t xml:space="preserve">Inteplast RZIP-QRT </t>
  </si>
  <si>
    <t xml:space="preserve">GALLON </t>
  </si>
  <si>
    <t>250 CT</t>
  </si>
  <si>
    <t>Inteplast RZIP-GAL</t>
  </si>
  <si>
    <t>PAPER, BAGS SANDWICH CLEAR</t>
  </si>
  <si>
    <t xml:space="preserve">Saddle Pack - Sandwich bag Clear 5.5x5.5        </t>
  </si>
  <si>
    <t>2000 CT</t>
  </si>
  <si>
    <t>DISTRIBUTOR'S CHOICE - PC55-SP</t>
  </si>
  <si>
    <t xml:space="preserve">Deli Saddle Pack - 10 x8.5 w/2.5" lip               </t>
  </si>
  <si>
    <t>DISTRIBUTOR'S CHOICE - PB1085P-SP</t>
  </si>
  <si>
    <t>SOUFFLE CUPS, FOAM BOWLS, AND LIDS</t>
  </si>
  <si>
    <t>Distributors Choice</t>
  </si>
  <si>
    <t>1 oz Souffle Cup Poly</t>
  </si>
  <si>
    <t>20/125=2500</t>
  </si>
  <si>
    <t>1oz Souffle Cup</t>
  </si>
  <si>
    <t xml:space="preserve">1 oz Souffle Lid </t>
  </si>
  <si>
    <t>1oz  Souffle Lid</t>
  </si>
  <si>
    <t>2 oz Souffle Cup Poly</t>
  </si>
  <si>
    <t>2oz Souffle Cup</t>
  </si>
  <si>
    <t>2 oz Souffle Lid</t>
  </si>
  <si>
    <t>2oz Souffle Lid</t>
  </si>
  <si>
    <t xml:space="preserve">4oz Souffle Cup Polypro              </t>
  </si>
  <si>
    <t>4oz Souffle Cup (400PC)</t>
  </si>
  <si>
    <t>4oz Souffle Lid (3.25oz, 4oz, 5.5oz)                                                                                 CS:20/125=2500</t>
  </si>
  <si>
    <t>4oz Souffle Lid (PL4N)</t>
  </si>
  <si>
    <t>4oz Container Foam Squat                                                                                               CS:20/50= 1000</t>
  </si>
  <si>
    <t>20/50=1000</t>
  </si>
  <si>
    <t>4oz Cup SQUAT DART (4J6)</t>
  </si>
  <si>
    <t>4oz Vented Lid (4J6, 6J6)                                                                                                 CS:10/100=1000</t>
  </si>
  <si>
    <t>10/100=1000</t>
  </si>
  <si>
    <t>4oz Vented Lid (6JL)</t>
  </si>
  <si>
    <t>6oz bowl                                                                                                                            CS:20/50 = 1000</t>
  </si>
  <si>
    <t>6oz foam bowl (6B20)</t>
  </si>
  <si>
    <t>6oz/8oz vented lid (8,12SJ20,16MJ20)                                                                             CS:10/100=1000</t>
  </si>
  <si>
    <t>6oz/8oz Vented Lid (20JL)</t>
  </si>
  <si>
    <t>8oz bowl                                                                                                                            CS:20/50 = 1000</t>
  </si>
  <si>
    <t>8oz foam bowl (8B20)</t>
  </si>
  <si>
    <t>12oz bowl                                                                                                                          CS:20/50 = 1000</t>
  </si>
  <si>
    <t>12oz foam bowl (12B32)</t>
  </si>
  <si>
    <t>12oz vented lid or lid foam (prefer vented to help save cost)                                            CS:10/50 = 500</t>
  </si>
  <si>
    <t>10/50=500</t>
  </si>
  <si>
    <t>Dart - 32JL or 32RL</t>
  </si>
  <si>
    <t xml:space="preserve">GLOVE, SERVING, VINYL, POWDER FREE- NON- LATEX - FOOD SERVICE </t>
  </si>
  <si>
    <t>INTEPLAST or Equal to</t>
  </si>
  <si>
    <t>PAPER, GLOVES, VINYL P.F.</t>
  </si>
  <si>
    <t xml:space="preserve">                                                              non-allergenic, synthetic, powder free.</t>
  </si>
  <si>
    <t>10/100</t>
  </si>
  <si>
    <t>SML - INTEPLAST #VF001</t>
  </si>
  <si>
    <r>
      <rPr>
        <sz val="9"/>
        <color theme="1"/>
        <rFont val="Arial"/>
      </rPr>
      <t xml:space="preserve">MED - </t>
    </r>
    <r>
      <rPr>
        <sz val="9"/>
        <color theme="1"/>
        <rFont val="Arial"/>
      </rPr>
      <t>INTEPLAST #VF002</t>
    </r>
  </si>
  <si>
    <r>
      <rPr>
        <sz val="9"/>
        <color theme="1"/>
        <rFont val="Arial"/>
      </rPr>
      <t>LRG-I</t>
    </r>
    <r>
      <rPr>
        <sz val="9"/>
        <color theme="1"/>
        <rFont val="Arial"/>
      </rPr>
      <t>NTEPLAST #VF003</t>
    </r>
  </si>
  <si>
    <r>
      <rPr>
        <sz val="9"/>
        <color theme="1"/>
        <rFont val="Arial"/>
      </rPr>
      <t xml:space="preserve">X-Large - </t>
    </r>
    <r>
      <rPr>
        <sz val="9"/>
        <color theme="1"/>
        <rFont val="Arial"/>
      </rPr>
      <t>INTEPLAST #VF004</t>
    </r>
  </si>
  <si>
    <t>PAPER, GLOVES, POLY EMBOSSED</t>
  </si>
  <si>
    <t>GLOVES, SERVING, POLY- LOOSE DESIGN ALLOWS FOR VENTING, FOR COOLER, MORE COMFORTABLE WEAR. DESIGN MAKES IT EASIER
FOR USERS TO PUT ON AND TAKE OFF GLOVE QUICKER. COMFORTABLE, LIGHTWEIGHT MATERIAL FOR REDUCED HAND FATIGUE.</t>
  </si>
  <si>
    <t>10/120</t>
  </si>
  <si>
    <t xml:space="preserve">Inteplast or Equal To </t>
  </si>
  <si>
    <t>SML - INTEPLAST #CP001-120</t>
  </si>
  <si>
    <t>MED - INTEPLAST #CP002-120</t>
  </si>
  <si>
    <t>PAPER, GLOVES, BLUE POLY GLOVES</t>
  </si>
  <si>
    <t xml:space="preserve">Easyon quick donning poly gloves </t>
  </si>
  <si>
    <t>10/200</t>
  </si>
  <si>
    <t xml:space="preserve">ELARA or Equal To </t>
  </si>
  <si>
    <t>Unisize #FPS205</t>
  </si>
  <si>
    <t>PAPER, FOOD TRAY RED PLAID</t>
  </si>
  <si>
    <t xml:space="preserve">FOOD TRAY, PAPER #100 (USE FOR NACHOS)           </t>
  </si>
  <si>
    <t>4/250</t>
  </si>
  <si>
    <t>#100 - DISTRIBUTORS CHOICE</t>
  </si>
  <si>
    <t xml:space="preserve">FOOD TRAY, PAPER- #200                                </t>
  </si>
  <si>
    <t>#200 - DISTRIBUTORS CHOICE</t>
  </si>
  <si>
    <t>PAPER, FREID FOOD SCOOPS</t>
  </si>
  <si>
    <t>Jr. Fry Scoop 3.5 oz - Start Motion</t>
  </si>
  <si>
    <t>3.5oz fry scoop # 8170 or Distributors Choice</t>
  </si>
  <si>
    <t>Regular Fry Scopp 5.0 oz - Start Motnion</t>
  </si>
  <si>
    <t>5oz fry scoop # 8172 or Distributors Choice</t>
  </si>
  <si>
    <t>PAPER, FILM</t>
  </si>
  <si>
    <t xml:space="preserve">Film Cling 24 x 2000                   </t>
  </si>
  <si>
    <t>1 ROLL</t>
  </si>
  <si>
    <r>
      <rPr>
        <sz val="9"/>
        <color theme="1"/>
        <rFont val="Arial"/>
      </rPr>
      <t>DITRIBUTOR'S CHOICE -</t>
    </r>
    <r>
      <rPr>
        <strike/>
        <sz val="9"/>
        <color theme="1"/>
        <rFont val="Arial"/>
      </rPr>
      <t xml:space="preserve">
</t>
    </r>
    <r>
      <rPr>
        <sz val="9"/>
        <color theme="1"/>
        <rFont val="Arial"/>
      </rPr>
      <t>COMPANION #1868700036</t>
    </r>
  </si>
  <si>
    <r>
      <rPr>
        <sz val="9"/>
        <color theme="1"/>
        <rFont val="Arial"/>
      </rPr>
      <t xml:space="preserve">Film Cling 18 x 2000          </t>
    </r>
    <r>
      <rPr>
        <b/>
        <sz val="9"/>
        <color theme="1"/>
        <rFont val="Arial"/>
      </rPr>
      <t xml:space="preserve">    </t>
    </r>
  </si>
  <si>
    <t>COMPANION #18687-00034</t>
  </si>
  <si>
    <t>PAPER, FOIL</t>
  </si>
  <si>
    <t xml:space="preserve">ALUMINUM FOIL - 18 INCHES BY 1000 FEET    </t>
  </si>
  <si>
    <r>
      <rPr>
        <sz val="9"/>
        <color theme="1"/>
        <rFont val="Arial"/>
      </rPr>
      <t>Regular Durable</t>
    </r>
    <r>
      <rPr>
        <sz val="9"/>
        <color theme="1"/>
        <rFont val="Arial"/>
      </rPr>
      <t xml:space="preserve"> or Equal To COMPAN #584468</t>
    </r>
  </si>
  <si>
    <t>ROLL</t>
  </si>
  <si>
    <t>PAPER, TOWEL ROLL</t>
  </si>
  <si>
    <t>100% RECYCLED &amp; ECO LOGO CERTIFIED HAND TOWEL ROLL</t>
  </si>
  <si>
    <t>6/ROLL</t>
  </si>
  <si>
    <t>SCA- TORK - 290088</t>
  </si>
  <si>
    <t>PACK:6 ROLLS/884 SHEETS PER ROLL-5304 SHEETS PER CS</t>
  </si>
  <si>
    <t>PAPER,  EXPRESS NAPKINS</t>
  </si>
  <si>
    <t>100% RECYCLED &amp; EPA COMPLIANT CONTAINS MIN 40% POST CONSUMER</t>
  </si>
  <si>
    <t>12/500</t>
  </si>
  <si>
    <t xml:space="preserve">SCA TISSUE-DX906E or Equal To </t>
  </si>
  <si>
    <t xml:space="preserve"> WASTE</t>
  </si>
  <si>
    <t>PAPER, SPOONS</t>
  </si>
  <si>
    <t>Spoon tea medium polypropylene</t>
  </si>
  <si>
    <t>1000 CT</t>
  </si>
  <si>
    <t xml:space="preserve">Berkley BR3000 or Equal To </t>
  </si>
  <si>
    <t>PAPER, FORK</t>
  </si>
  <si>
    <t>Fork medium polypropylene</t>
  </si>
  <si>
    <t>Berkley BR2000</t>
  </si>
  <si>
    <t>PAPER, SPORK KIT</t>
  </si>
  <si>
    <t>Spork, Napkin, Straw kit</t>
  </si>
  <si>
    <t>Berkley 5670</t>
  </si>
  <si>
    <t>PAPER, PAN LINERS</t>
  </si>
  <si>
    <t>Quilon paper baking pan liner, 1000ct, 16x24</t>
  </si>
  <si>
    <t>DISTRIBUTOR'S CHOICE- BAGCRAFT #030001</t>
  </si>
  <si>
    <t>PAN LINER STMTBL, OVENABLE HI-HT</t>
  </si>
  <si>
    <t xml:space="preserve">PanHandlers ovenable pan liners clear nylon 34'x16" Bake up to 400°F full pan  </t>
  </si>
  <si>
    <t>HANDGARDS - 304985022 or Equal To</t>
  </si>
  <si>
    <t>TRASH CAN LINER, 60 GAL</t>
  </si>
  <si>
    <r>
      <rPr>
        <sz val="9"/>
        <color theme="1"/>
        <rFont val="Arial"/>
      </rPr>
      <t>LINER 38X58 60G</t>
    </r>
    <r>
      <rPr>
        <b/>
        <sz val="9"/>
        <color theme="1"/>
        <rFont val="Arial"/>
      </rPr>
      <t xml:space="preserve"> 1.5ML BLK </t>
    </r>
    <r>
      <rPr>
        <sz val="9"/>
        <color rgb="FFFF0000"/>
        <rFont val="Arial"/>
      </rPr>
      <t>(had problems with these bags leaking in the 21/22 school year)</t>
    </r>
  </si>
  <si>
    <t>PITT PLASTICS INC - COMPAN - # or Equal To</t>
  </si>
  <si>
    <r>
      <rPr>
        <sz val="9"/>
        <color theme="1"/>
        <rFont val="Arial"/>
      </rPr>
      <t xml:space="preserve">LINER 38X58 60G </t>
    </r>
    <r>
      <rPr>
        <b/>
        <sz val="9"/>
        <color theme="1"/>
        <rFont val="Arial"/>
      </rPr>
      <t>1.7 ML BLK</t>
    </r>
  </si>
  <si>
    <t>CHEMICAL - DISH LIQUID</t>
  </si>
  <si>
    <t>Liquid detergent for manual washing of pots and pans</t>
  </si>
  <si>
    <t>8/38Z</t>
  </si>
  <si>
    <t>DAWN 45112 or Equal To</t>
  </si>
  <si>
    <t>CHEMICAL - BLEACH</t>
  </si>
  <si>
    <t>Bleach ultra germicidal- Disinfects, Sanitizes &amp; Deodorizes Hard Nonporous Surfaces,</t>
  </si>
  <si>
    <t>3/121Z</t>
  </si>
  <si>
    <t>CLOROX- 30966 or Equal To</t>
  </si>
  <si>
    <t xml:space="preserve">Meets EPA Guidelines for sanitizing food contact surfaces.   </t>
  </si>
  <si>
    <t>CHEMICAL - LAUNDRY DETERGENT</t>
  </si>
  <si>
    <t>Soap Liquid H.E. 2XConcentrate 64 Load</t>
  </si>
  <si>
    <t>4/100Z</t>
  </si>
  <si>
    <t>PROCTER &amp; GAMBLE - TIDE # 08886 or Equal To</t>
  </si>
  <si>
    <t xml:space="preserve">CHEMICAL - DEGREASER </t>
  </si>
  <si>
    <r>
      <rPr>
        <sz val="9"/>
        <color theme="1"/>
        <rFont val="Arial"/>
      </rPr>
      <t xml:space="preserve">CLEANER/DEGREASER ORANGE ZAP                                                                            </t>
    </r>
    <r>
      <rPr>
        <b/>
        <sz val="9"/>
        <color theme="1"/>
        <rFont val="Arial"/>
      </rPr>
      <t>4/1 GALLON</t>
    </r>
  </si>
  <si>
    <t>INTERCON -64541 or Equal To</t>
  </si>
  <si>
    <t xml:space="preserve">CHEMICAL - QUAT SANITIZER </t>
  </si>
  <si>
    <t xml:space="preserve">QUAT SANITIZER -for dish sanitation and food surfaces                  </t>
  </si>
  <si>
    <t>DISTRIBUTORS CHOICE
INTERCON #23441</t>
  </si>
  <si>
    <t>CHEMICAL- QUAT TEST TAPE</t>
  </si>
  <si>
    <t>Hydrion QT-40 Quaternary Sanitizer Test Tape 15 feet Roll Quat Color Chart 0-500 ppm Range</t>
  </si>
  <si>
    <t xml:space="preserve">DISTRIBUTORS CHOICE
</t>
  </si>
  <si>
    <t xml:space="preserve">PAPER/CHEMICAL SUPPLIES SUB TOTAL:     </t>
  </si>
  <si>
    <r>
      <t xml:space="preserve">51% or higher whole grain white , enriched </t>
    </r>
    <r>
      <rPr>
        <b/>
        <sz val="8"/>
        <color theme="1"/>
        <rFont val="Calibri"/>
        <family val="2"/>
        <scheme val="major"/>
      </rPr>
      <t>(2 oz. grain equivalent)</t>
    </r>
  </si>
  <si>
    <r>
      <t>51% or higher whole grain white or wheat, sliced</t>
    </r>
    <r>
      <rPr>
        <b/>
        <sz val="8"/>
        <color theme="1"/>
        <rFont val="Calibri"/>
        <family val="2"/>
        <scheme val="major"/>
      </rPr>
      <t xml:space="preserve"> (2 oz. grain equivalent)</t>
    </r>
  </si>
  <si>
    <t>Milk, chocolate, 1%, ½ pint carton</t>
  </si>
  <si>
    <t>Milk, strawberry,1%, ½ pint carton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</si>
</sst>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4" formatCode="_(&quot;$&quot;* #,##0.00_);_(&quot;$&quot;* \(#,##0.00\);_(&quot;$&quot;* &quot;-&quot;??_);_(@_)"/>
    <numFmt numFmtId="164" formatCode="0.0%"/>
    <numFmt numFmtId="165" formatCode="00000"/>
    <numFmt numFmtId="166" formatCode="&quot;$&quot;#,##0.00"/>
    <numFmt numFmtId="167" formatCode="_(&quot;$&quot;* #,##0.0000_);_(&quot;$&quot;* \(#,##0.0000\);_(&quot;$&quot;* &quot;-&quot;??_);_(@_)"/>
    <numFmt numFmtId="168" formatCode="#,##0.000"/>
    <numFmt numFmtId="169" formatCode="_(&quot;$&quot;* #,##0.00_);_(&quot;$&quot;* \(#,##0.00\);_(&quot;$&quot;* &quot;-&quot;????_);_(@_)"/>
    <numFmt numFmtId="170" formatCode="0.000"/>
  </numFmts>
  <fonts count="94">
    <font>
      <sz val="11"/>
      <color theme="1"/>
      <name val="Calibri"/>
      <scheme val="minor"/>
    </font>
    <font>
      <sz val="11"/>
      <color theme="1"/>
      <name val="Calibri"/>
      <family val="2"/>
      <scheme val="minor"/>
    </font>
    <font>
      <b/>
      <sz val="20"/>
      <color rgb="FF000000"/>
      <name val="Arial"/>
    </font>
    <font>
      <sz val="14"/>
      <color theme="1"/>
      <name val="Calibri"/>
    </font>
    <font>
      <sz val="12"/>
      <color rgb="FF000000"/>
      <name val="Arial"/>
    </font>
    <font>
      <sz val="12"/>
      <color theme="1"/>
      <name val="Arial"/>
    </font>
    <font>
      <b/>
      <sz val="11"/>
      <color theme="1"/>
      <name val="Calibri"/>
    </font>
    <font>
      <b/>
      <sz val="12"/>
      <color theme="1"/>
      <name val="Arial"/>
    </font>
    <font>
      <sz val="18"/>
      <color rgb="FF000000"/>
      <name val="Arial"/>
    </font>
    <font>
      <b/>
      <sz val="18"/>
      <color rgb="FF000000"/>
      <name val="Arial"/>
    </font>
    <font>
      <b/>
      <sz val="18"/>
      <color theme="1"/>
      <name val="Arial"/>
    </font>
    <font>
      <sz val="18"/>
      <color theme="1"/>
      <name val="Arial"/>
    </font>
    <font>
      <b/>
      <sz val="18"/>
      <color theme="1"/>
      <name val="Calibri"/>
    </font>
    <font>
      <sz val="20"/>
      <color theme="1"/>
      <name val="Arial"/>
    </font>
    <font>
      <b/>
      <sz val="20"/>
      <color theme="1"/>
      <name val="Arial"/>
    </font>
    <font>
      <sz val="11"/>
      <name val="Calibri"/>
    </font>
    <font>
      <b/>
      <sz val="20"/>
      <color theme="1"/>
      <name val="Calibri"/>
    </font>
    <font>
      <b/>
      <sz val="16"/>
      <color theme="1"/>
      <name val="Arial"/>
    </font>
    <font>
      <b/>
      <sz val="24"/>
      <color theme="1"/>
      <name val="Arial"/>
    </font>
    <font>
      <sz val="9"/>
      <color theme="1"/>
      <name val="Arial"/>
    </font>
    <font>
      <sz val="14"/>
      <color theme="1"/>
      <name val="Arial"/>
    </font>
    <font>
      <sz val="8"/>
      <color theme="1"/>
      <name val="Arial"/>
    </font>
    <font>
      <sz val="8"/>
      <color rgb="FF000000"/>
      <name val="Arial"/>
    </font>
    <font>
      <b/>
      <sz val="9"/>
      <color rgb="FFFF0000"/>
      <name val="Arial"/>
    </font>
    <font>
      <sz val="10"/>
      <color theme="1"/>
      <name val="Arial"/>
    </font>
    <font>
      <sz val="20"/>
      <color theme="1"/>
      <name val="Calibri"/>
      <scheme val="minor"/>
    </font>
    <font>
      <sz val="20"/>
      <color rgb="FF000000"/>
      <name val="Arial"/>
    </font>
    <font>
      <sz val="20"/>
      <color theme="1"/>
      <name val="Calibri"/>
    </font>
    <font>
      <sz val="11"/>
      <color theme="1"/>
      <name val="Calibri"/>
      <scheme val="minor"/>
    </font>
    <font>
      <sz val="11"/>
      <color theme="1"/>
      <name val="Calibri"/>
    </font>
    <font>
      <b/>
      <sz val="14"/>
      <color theme="1"/>
      <name val="Arial"/>
    </font>
    <font>
      <sz val="15"/>
      <color theme="1"/>
      <name val="Calibri"/>
      <scheme val="minor"/>
    </font>
    <font>
      <b/>
      <sz val="15"/>
      <color rgb="FF000000"/>
      <name val="Arial"/>
    </font>
    <font>
      <sz val="15"/>
      <color theme="1"/>
      <name val="Arial"/>
    </font>
    <font>
      <sz val="15"/>
      <color theme="1"/>
      <name val="Calibri"/>
    </font>
    <font>
      <b/>
      <sz val="15"/>
      <color theme="1"/>
      <name val="Calibri"/>
    </font>
    <font>
      <b/>
      <sz val="15"/>
      <color theme="1"/>
      <name val="Arial"/>
    </font>
    <font>
      <sz val="15"/>
      <color rgb="FF000000"/>
      <name val="Arial"/>
    </font>
    <font>
      <b/>
      <sz val="18"/>
      <color theme="1"/>
      <name val="Calibri"/>
      <scheme val="minor"/>
    </font>
    <font>
      <b/>
      <sz val="18"/>
      <color rgb="FFFF0000"/>
      <name val="Calibri"/>
    </font>
    <font>
      <b/>
      <sz val="11"/>
      <color theme="1"/>
      <name val="Arial"/>
    </font>
    <font>
      <b/>
      <sz val="11"/>
      <color rgb="FFFF0000"/>
      <name val="Calibri"/>
    </font>
    <font>
      <b/>
      <sz val="12"/>
      <color rgb="FF000000"/>
      <name val="Arial"/>
    </font>
    <font>
      <b/>
      <sz val="18"/>
      <color theme="1"/>
      <name val="&quot;Times New Roman&quot;"/>
    </font>
    <font>
      <b/>
      <sz val="9"/>
      <color theme="1"/>
      <name val="Arial"/>
    </font>
    <font>
      <sz val="14"/>
      <color theme="1"/>
      <name val="&quot;Times New Roman&quot;"/>
    </font>
    <font>
      <b/>
      <sz val="16"/>
      <color theme="1"/>
      <name val="&quot;Times New Roman&quot;"/>
    </font>
    <font>
      <sz val="16"/>
      <color theme="1"/>
      <name val="&quot;Times New Roman&quot;"/>
    </font>
    <font>
      <b/>
      <sz val="14"/>
      <color theme="1"/>
      <name val="&quot;Times New Roman&quot;"/>
    </font>
    <font>
      <sz val="11"/>
      <color theme="1"/>
      <name val="&quot;Times New Roman&quot;"/>
    </font>
    <font>
      <sz val="11"/>
      <color theme="1"/>
      <name val="Times New Roman"/>
    </font>
    <font>
      <b/>
      <sz val="11"/>
      <color theme="1"/>
      <name val="Times New Roman"/>
    </font>
    <font>
      <b/>
      <sz val="11"/>
      <color theme="1"/>
      <name val="&quot;Times New Roman&quot;"/>
    </font>
    <font>
      <sz val="11"/>
      <color theme="1"/>
      <name val="&quot;Times New Roman&quot;"/>
    </font>
    <font>
      <b/>
      <sz val="11"/>
      <color rgb="FF000000"/>
      <name val="&quot;Times New Roman&quot;"/>
    </font>
    <font>
      <sz val="11"/>
      <color rgb="FF000000"/>
      <name val="&quot;Times New Roman&quot;"/>
    </font>
    <font>
      <b/>
      <sz val="9"/>
      <color rgb="FF000000"/>
      <name val="Arial"/>
    </font>
    <font>
      <b/>
      <sz val="18"/>
      <color rgb="FFFFFFFF"/>
      <name val="Arial"/>
    </font>
    <font>
      <sz val="18"/>
      <color theme="1"/>
      <name val="Calibri"/>
      <scheme val="minor"/>
    </font>
    <font>
      <sz val="9"/>
      <color rgb="FFFF0000"/>
      <name val="Arial"/>
    </font>
    <font>
      <sz val="9"/>
      <color rgb="FF000000"/>
      <name val="Arial"/>
    </font>
    <font>
      <b/>
      <sz val="12"/>
      <color rgb="FFFF0000"/>
      <name val="Arial"/>
    </font>
    <font>
      <sz val="9"/>
      <color rgb="FF333333"/>
      <name val="Arial"/>
    </font>
    <font>
      <sz val="9"/>
      <color rgb="FF000000"/>
      <name val="Merriweather"/>
    </font>
    <font>
      <sz val="9"/>
      <color rgb="FF282828"/>
      <name val="Arial"/>
    </font>
    <font>
      <b/>
      <strike/>
      <sz val="9"/>
      <color rgb="FFFF0000"/>
      <name val="Arial"/>
    </font>
    <font>
      <sz val="9"/>
      <color theme="1"/>
      <name val="Calibri"/>
    </font>
    <font>
      <sz val="9"/>
      <color theme="1"/>
      <name val="Calibri"/>
      <scheme val="minor"/>
    </font>
    <font>
      <b/>
      <sz val="12"/>
      <color theme="0"/>
      <name val="Arial"/>
    </font>
    <font>
      <sz val="11"/>
      <color theme="0"/>
      <name val="Calibri"/>
      <scheme val="minor"/>
    </font>
    <font>
      <b/>
      <strike/>
      <sz val="12"/>
      <color theme="1"/>
      <name val="Arial"/>
    </font>
    <font>
      <sz val="11"/>
      <color theme="1"/>
      <name val="Arial"/>
    </font>
    <font>
      <strike/>
      <sz val="9"/>
      <color theme="1"/>
      <name val="Arial"/>
    </font>
    <font>
      <b/>
      <strike/>
      <sz val="9"/>
      <color rgb="FF000000"/>
      <name val="Arial"/>
    </font>
    <font>
      <sz val="9"/>
      <color rgb="FF0F1111"/>
      <name val="Arial"/>
    </font>
    <font>
      <b/>
      <i/>
      <sz val="9"/>
      <color theme="1"/>
      <name val="Arial"/>
    </font>
    <font>
      <sz val="8"/>
      <color theme="1"/>
      <name val="Calibri"/>
      <family val="2"/>
      <scheme val="minor"/>
    </font>
    <font>
      <sz val="8"/>
      <color theme="1"/>
      <name val="&quot;Times New Roman&quot;"/>
    </font>
    <font>
      <b/>
      <sz val="8"/>
      <color theme="1"/>
      <name val="Calibri"/>
      <family val="2"/>
      <scheme val="major"/>
    </font>
    <font>
      <sz val="8"/>
      <color theme="1"/>
      <name val="Calibri"/>
      <family val="2"/>
      <scheme val="major"/>
    </font>
    <font>
      <b/>
      <sz val="8"/>
      <color rgb="FFFF0000"/>
      <name val="Calibri"/>
      <family val="2"/>
      <scheme val="major"/>
    </font>
    <font>
      <sz val="11"/>
      <name val="Calibri"/>
      <family val="2"/>
      <scheme val="major"/>
    </font>
    <font>
      <b/>
      <sz val="11"/>
      <color rgb="FFFFFFFF"/>
      <name val="Calibri"/>
      <family val="2"/>
      <scheme val="major"/>
    </font>
    <font>
      <sz val="8"/>
      <color rgb="FF000000"/>
      <name val="Calibri"/>
      <family val="2"/>
      <scheme val="major"/>
    </font>
    <font>
      <sz val="8"/>
      <name val="Calibri"/>
      <family val="2"/>
      <scheme val="major"/>
    </font>
    <font>
      <b/>
      <sz val="10"/>
      <color theme="1"/>
      <name val="Arial"/>
      <family val="2"/>
    </font>
    <font>
      <b/>
      <sz val="10"/>
      <color theme="1"/>
      <name val="Calibri"/>
      <family val="2"/>
      <scheme val="major"/>
    </font>
    <font>
      <sz val="10"/>
      <color rgb="FF000000"/>
      <name val="Calibri"/>
      <family val="2"/>
      <scheme val="major"/>
    </font>
    <font>
      <sz val="10"/>
      <color theme="1"/>
      <name val="Calibri"/>
      <family val="2"/>
      <scheme val="major"/>
    </font>
    <font>
      <sz val="10"/>
      <color theme="1"/>
      <name val="Calibri"/>
      <family val="2"/>
      <scheme val="minor"/>
    </font>
    <font>
      <sz val="10"/>
      <name val="Calibri"/>
      <family val="2"/>
      <scheme val="major"/>
    </font>
    <font>
      <b/>
      <sz val="8"/>
      <color rgb="FF000000"/>
      <name val="Calibri"/>
      <family val="2"/>
      <scheme val="major"/>
    </font>
    <font>
      <b/>
      <sz val="14"/>
      <color rgb="FF000000"/>
      <name val="Arial"/>
      <family val="2"/>
    </font>
    <font>
      <sz val="11"/>
      <color theme="1"/>
      <name val="Times New Roman"/>
      <family val="1"/>
    </font>
  </fonts>
  <fills count="14">
    <fill>
      <patternFill patternType="none"/>
    </fill>
    <fill>
      <patternFill patternType="gray125"/>
    </fill>
    <fill>
      <patternFill patternType="solid">
        <fgColor rgb="FFFFFFFF"/>
        <bgColor rgb="FFFFFFFF"/>
      </patternFill>
    </fill>
    <fill>
      <patternFill patternType="solid">
        <fgColor rgb="FFFFFF99"/>
        <bgColor rgb="FFFFFF99"/>
      </patternFill>
    </fill>
    <fill>
      <patternFill patternType="solid">
        <fgColor rgb="FFDAEEF3"/>
        <bgColor rgb="FFDAEEF3"/>
      </patternFill>
    </fill>
    <fill>
      <patternFill patternType="solid">
        <fgColor rgb="FFFFFF00"/>
        <bgColor rgb="FFFFFF00"/>
      </patternFill>
    </fill>
    <fill>
      <patternFill patternType="solid">
        <fgColor rgb="FF66FF99"/>
        <bgColor rgb="FF66FF99"/>
      </patternFill>
    </fill>
    <fill>
      <patternFill patternType="solid">
        <fgColor rgb="FFFFCCFF"/>
        <bgColor rgb="FFFFCCFF"/>
      </patternFill>
    </fill>
    <fill>
      <patternFill patternType="solid">
        <fgColor rgb="FFD9D9D9"/>
        <bgColor rgb="FFD9D9D9"/>
      </patternFill>
    </fill>
    <fill>
      <patternFill patternType="solid">
        <fgColor rgb="FF000000"/>
        <bgColor rgb="FF000000"/>
      </patternFill>
    </fill>
    <fill>
      <patternFill patternType="solid">
        <fgColor rgb="FFF2DCDB"/>
        <bgColor rgb="FFF2DCDB"/>
      </patternFill>
    </fill>
    <fill>
      <patternFill patternType="solid">
        <fgColor rgb="FFF2F2F2"/>
        <bgColor rgb="FFF2F2F2"/>
      </patternFill>
    </fill>
    <fill>
      <patternFill patternType="solid">
        <fgColor rgb="FFF3F3F3"/>
        <bgColor rgb="FFF3F3F3"/>
      </patternFill>
    </fill>
    <fill>
      <patternFill patternType="solid">
        <fgColor theme="0"/>
        <bgColor theme="0"/>
      </patternFill>
    </fill>
  </fills>
  <borders count="90">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right/>
      <top/>
      <bottom style="thick">
        <color rgb="FF000000"/>
      </bottom>
      <diagonal/>
    </border>
    <border>
      <left style="medium">
        <color rgb="FF000000"/>
      </left>
      <right/>
      <top style="medium">
        <color rgb="FF000000"/>
      </top>
      <bottom style="thick">
        <color rgb="FF000000"/>
      </bottom>
      <diagonal/>
    </border>
    <border>
      <left/>
      <right style="medium">
        <color rgb="FF000000"/>
      </right>
      <top style="medium">
        <color rgb="FF000000"/>
      </top>
      <bottom style="thick">
        <color rgb="FF000000"/>
      </bottom>
      <diagonal/>
    </border>
    <border>
      <left style="medium">
        <color rgb="FF000000"/>
      </left>
      <right style="medium">
        <color rgb="FF000000"/>
      </right>
      <top style="medium">
        <color rgb="FF000000"/>
      </top>
      <bottom style="thick">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medium">
        <color rgb="FF000000"/>
      </right>
      <top/>
      <bottom/>
      <diagonal/>
    </border>
    <border>
      <left/>
      <right/>
      <top/>
      <bottom style="thin">
        <color rgb="FF000000"/>
      </bottom>
      <diagonal/>
    </border>
    <border>
      <left/>
      <right/>
      <top style="medium">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style="thin">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thick">
        <color rgb="FF000000"/>
      </left>
      <right/>
      <top style="medium">
        <color rgb="FF000000"/>
      </top>
      <bottom style="medium">
        <color rgb="FF000000"/>
      </bottom>
      <diagonal/>
    </border>
    <border>
      <left style="medium">
        <color rgb="FF000000"/>
      </left>
      <right/>
      <top/>
      <bottom/>
      <diagonal/>
    </border>
    <border>
      <left style="medium">
        <color rgb="FF000000"/>
      </left>
      <right style="medium">
        <color rgb="FF000000"/>
      </right>
      <top/>
      <bottom/>
      <diagonal/>
    </border>
    <border>
      <left style="medium">
        <color rgb="FF000000"/>
      </left>
      <right style="medium">
        <color rgb="FF000000"/>
      </right>
      <top/>
      <bottom/>
      <diagonal/>
    </border>
    <border>
      <left/>
      <right/>
      <top style="medium">
        <color rgb="FF000000"/>
      </top>
      <bottom style="medium">
        <color rgb="FF000000"/>
      </bottom>
      <diagonal/>
    </border>
    <border>
      <left style="medium">
        <color rgb="FF000000"/>
      </left>
      <right/>
      <top style="thick">
        <color rgb="FF000000"/>
      </top>
      <bottom style="medium">
        <color rgb="FF000000"/>
      </bottom>
      <diagonal/>
    </border>
    <border>
      <left/>
      <right/>
      <top style="thick">
        <color rgb="FF000000"/>
      </top>
      <bottom style="medium">
        <color rgb="FF000000"/>
      </bottom>
      <diagonal/>
    </border>
    <border>
      <left style="thick">
        <color rgb="FF000000"/>
      </left>
      <right/>
      <top style="thick">
        <color rgb="FF000000"/>
      </top>
      <bottom style="medium">
        <color rgb="FF000000"/>
      </bottom>
      <diagonal/>
    </border>
    <border>
      <left/>
      <right style="medium">
        <color rgb="FF000000"/>
      </right>
      <top style="thick">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right style="medium">
        <color rgb="FF000000"/>
      </right>
      <top/>
      <bottom/>
      <diagonal/>
    </border>
    <border>
      <left/>
      <right style="medium">
        <color rgb="FF000000"/>
      </right>
      <top/>
      <bottom/>
      <diagonal/>
    </border>
    <border>
      <left/>
      <right style="medium">
        <color rgb="FF000000"/>
      </right>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bottom/>
      <diagonal/>
    </border>
    <border>
      <left style="medium">
        <color rgb="FF000000"/>
      </left>
      <right/>
      <top/>
      <bottom style="medium">
        <color rgb="FF000000"/>
      </bottom>
      <diagonal/>
    </border>
    <border>
      <left style="medium">
        <color rgb="FF000000"/>
      </left>
      <right/>
      <top/>
      <bottom/>
      <diagonal/>
    </border>
    <border>
      <left style="medium">
        <color rgb="FF000000"/>
      </left>
      <right/>
      <top style="medium">
        <color rgb="FF000000"/>
      </top>
      <bottom/>
      <diagonal/>
    </border>
    <border>
      <left/>
      <right/>
      <top/>
      <bottom/>
      <diagonal/>
    </border>
    <border>
      <left/>
      <right/>
      <top style="medium">
        <color rgb="FF000000"/>
      </top>
      <bottom/>
      <diagonal/>
    </border>
    <border>
      <left/>
      <right/>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bottom/>
      <diagonal/>
    </border>
    <border>
      <left style="medium">
        <color rgb="FF000000"/>
      </left>
      <right/>
      <top/>
      <bottom/>
      <diagonal/>
    </border>
    <border>
      <left/>
      <right/>
      <top style="medium">
        <color rgb="FF000000"/>
      </top>
      <bottom style="thick">
        <color rgb="FF000000"/>
      </bottom>
      <diagonal/>
    </border>
    <border>
      <left style="thick">
        <color rgb="FF000000"/>
      </left>
      <right/>
      <top style="medium">
        <color rgb="FF000000"/>
      </top>
      <bottom style="thick">
        <color rgb="FF000000"/>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right style="thick">
        <color rgb="FF000000"/>
      </right>
      <top/>
      <bottom style="medium">
        <color rgb="FF000000"/>
      </bottom>
      <diagonal/>
    </border>
    <border>
      <left style="thick">
        <color rgb="FF000000"/>
      </left>
      <right style="thick">
        <color rgb="FF000000"/>
      </right>
      <top/>
      <bottom style="medium">
        <color rgb="FF000000"/>
      </bottom>
      <diagonal/>
    </border>
    <border>
      <left style="thick">
        <color rgb="FF000000"/>
      </left>
      <right/>
      <top/>
      <bottom style="medium">
        <color rgb="FF000000"/>
      </bottom>
      <diagonal/>
    </border>
    <border>
      <left/>
      <right/>
      <top style="thin">
        <color auto="1"/>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1"/>
      </top>
      <bottom style="thin">
        <color theme="0"/>
      </bottom>
      <diagonal/>
    </border>
    <border>
      <left style="thin">
        <color theme="0"/>
      </left>
      <right style="thin">
        <color theme="0"/>
      </right>
      <top style="thin">
        <color theme="0"/>
      </top>
      <bottom/>
      <diagonal/>
    </border>
    <border>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theme="1"/>
      </bottom>
      <diagonal/>
    </border>
    <border>
      <left style="thin">
        <color rgb="FF000000"/>
      </left>
      <right style="thin">
        <color rgb="FF000000"/>
      </right>
      <top/>
      <bottom/>
      <diagonal/>
    </border>
    <border>
      <left/>
      <right style="thin">
        <color rgb="FF000000"/>
      </right>
      <top/>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s>
  <cellStyleXfs count="1">
    <xf numFmtId="0" fontId="0" fillId="0" borderId="0"/>
  </cellStyleXfs>
  <cellXfs count="1024">
    <xf numFmtId="0" fontId="0" fillId="0" borderId="0" xfId="0" applyFont="1" applyAlignment="1"/>
    <xf numFmtId="0" fontId="3" fillId="0" borderId="0" xfId="0" applyFont="1"/>
    <xf numFmtId="2" fontId="5" fillId="0" borderId="0" xfId="0" applyNumberFormat="1" applyFont="1" applyAlignment="1">
      <alignment horizontal="right"/>
    </xf>
    <xf numFmtId="164" fontId="6" fillId="2" borderId="0" xfId="0" applyNumberFormat="1" applyFont="1" applyFill="1" applyAlignment="1">
      <alignment horizontal="right"/>
    </xf>
    <xf numFmtId="44" fontId="7" fillId="3" borderId="0" xfId="0" applyNumberFormat="1" applyFont="1" applyFill="1" applyAlignment="1">
      <alignment horizontal="center"/>
    </xf>
    <xf numFmtId="0" fontId="8" fillId="0" borderId="0" xfId="0" applyFont="1" applyAlignment="1"/>
    <xf numFmtId="2" fontId="11" fillId="0" borderId="0" xfId="0" applyNumberFormat="1" applyFont="1" applyAlignment="1">
      <alignment horizontal="right"/>
    </xf>
    <xf numFmtId="164" fontId="12" fillId="2" borderId="0" xfId="0" applyNumberFormat="1" applyFont="1" applyFill="1" applyAlignment="1">
      <alignment horizontal="right"/>
    </xf>
    <xf numFmtId="44" fontId="10" fillId="3" borderId="0" xfId="0" applyNumberFormat="1" applyFont="1" applyFill="1" applyAlignment="1">
      <alignment horizontal="center"/>
    </xf>
    <xf numFmtId="2" fontId="13" fillId="0" borderId="0" xfId="0" applyNumberFormat="1" applyFont="1" applyAlignment="1">
      <alignment horizontal="right"/>
    </xf>
    <xf numFmtId="164" fontId="16" fillId="2" borderId="4" xfId="0" applyNumberFormat="1" applyFont="1" applyFill="1" applyBorder="1" applyAlignment="1">
      <alignment horizontal="right"/>
    </xf>
    <xf numFmtId="44" fontId="14" fillId="3" borderId="4" xfId="0" applyNumberFormat="1" applyFont="1" applyFill="1" applyBorder="1" applyAlignment="1">
      <alignment horizontal="center"/>
    </xf>
    <xf numFmtId="0" fontId="17" fillId="0" borderId="6" xfId="0" applyFont="1" applyBorder="1" applyAlignment="1">
      <alignment horizontal="center"/>
    </xf>
    <xf numFmtId="164" fontId="6" fillId="2" borderId="4" xfId="0" applyNumberFormat="1" applyFont="1" applyFill="1" applyBorder="1" applyAlignment="1">
      <alignment horizontal="right"/>
    </xf>
    <xf numFmtId="44" fontId="7" fillId="3" borderId="4" xfId="0" applyNumberFormat="1" applyFont="1" applyFill="1" applyBorder="1" applyAlignment="1">
      <alignment horizontal="center"/>
    </xf>
    <xf numFmtId="0" fontId="14" fillId="4" borderId="9" xfId="0" applyFont="1" applyFill="1" applyBorder="1" applyAlignment="1">
      <alignment wrapText="1"/>
    </xf>
    <xf numFmtId="0" fontId="13" fillId="2" borderId="12" xfId="0" applyFont="1" applyFill="1" applyBorder="1" applyAlignment="1">
      <alignment horizontal="center"/>
    </xf>
    <xf numFmtId="164" fontId="27" fillId="2" borderId="4" xfId="0" applyNumberFormat="1" applyFont="1" applyFill="1" applyBorder="1" applyAlignment="1"/>
    <xf numFmtId="44" fontId="27" fillId="3" borderId="4" xfId="0" applyNumberFormat="1" applyFont="1" applyFill="1" applyBorder="1" applyAlignment="1"/>
    <xf numFmtId="0" fontId="27" fillId="2" borderId="4" xfId="0" applyFont="1" applyFill="1" applyBorder="1" applyAlignment="1"/>
    <xf numFmtId="0" fontId="13" fillId="2" borderId="9" xfId="0" applyFont="1" applyFill="1" applyBorder="1" applyAlignment="1">
      <alignment horizontal="center"/>
    </xf>
    <xf numFmtId="164" fontId="29" fillId="2" borderId="4" xfId="0" applyNumberFormat="1" applyFont="1" applyFill="1" applyBorder="1" applyAlignment="1"/>
    <xf numFmtId="2" fontId="5" fillId="0" borderId="18" xfId="0" applyNumberFormat="1" applyFont="1" applyBorder="1" applyAlignment="1">
      <alignment horizontal="right"/>
    </xf>
    <xf numFmtId="2" fontId="33" fillId="0" borderId="0" xfId="0" applyNumberFormat="1" applyFont="1" applyAlignment="1">
      <alignment horizontal="right"/>
    </xf>
    <xf numFmtId="164" fontId="34" fillId="2" borderId="4" xfId="0" applyNumberFormat="1" applyFont="1" applyFill="1" applyBorder="1" applyAlignment="1"/>
    <xf numFmtId="44" fontId="34" fillId="3" borderId="4" xfId="0" applyNumberFormat="1" applyFont="1" applyFill="1" applyBorder="1" applyAlignment="1"/>
    <xf numFmtId="164" fontId="35" fillId="2" borderId="4" xfId="0" applyNumberFormat="1" applyFont="1" applyFill="1" applyBorder="1" applyAlignment="1">
      <alignment horizontal="right"/>
    </xf>
    <xf numFmtId="44" fontId="36" fillId="3" borderId="4" xfId="0" applyNumberFormat="1" applyFont="1" applyFill="1" applyBorder="1" applyAlignment="1">
      <alignment horizontal="center"/>
    </xf>
    <xf numFmtId="44" fontId="29" fillId="3" borderId="4" xfId="0" applyNumberFormat="1" applyFont="1" applyFill="1" applyBorder="1" applyAlignment="1"/>
    <xf numFmtId="0" fontId="29" fillId="2" borderId="4" xfId="0" applyFont="1" applyFill="1" applyBorder="1" applyAlignment="1"/>
    <xf numFmtId="167" fontId="7" fillId="3" borderId="4" xfId="0" applyNumberFormat="1" applyFont="1" applyFill="1" applyBorder="1" applyAlignment="1">
      <alignment horizontal="center"/>
    </xf>
    <xf numFmtId="44" fontId="7" fillId="3" borderId="20" xfId="0" applyNumberFormat="1" applyFont="1" applyFill="1" applyBorder="1" applyAlignment="1">
      <alignment horizontal="center"/>
    </xf>
    <xf numFmtId="0" fontId="38" fillId="0" borderId="0" xfId="0" applyFont="1" applyAlignment="1">
      <alignment vertical="center"/>
    </xf>
    <xf numFmtId="10" fontId="10" fillId="5" borderId="0" xfId="0" applyNumberFormat="1" applyFont="1" applyFill="1" applyAlignment="1">
      <alignment vertical="center"/>
    </xf>
    <xf numFmtId="44" fontId="12" fillId="0" borderId="4" xfId="0" applyNumberFormat="1" applyFont="1" applyBorder="1" applyAlignment="1">
      <alignment vertical="center"/>
    </xf>
    <xf numFmtId="164" fontId="39" fillId="2" borderId="4" xfId="0" applyNumberFormat="1" applyFont="1" applyFill="1" applyBorder="1" applyAlignment="1">
      <alignment horizontal="right" vertical="center"/>
    </xf>
    <xf numFmtId="44" fontId="7" fillId="3" borderId="21" xfId="0" applyNumberFormat="1" applyFont="1" applyFill="1" applyBorder="1" applyAlignment="1">
      <alignment horizontal="center"/>
    </xf>
    <xf numFmtId="164" fontId="40" fillId="2" borderId="4" xfId="0" applyNumberFormat="1" applyFont="1" applyFill="1" applyBorder="1" applyAlignment="1">
      <alignment horizontal="right"/>
    </xf>
    <xf numFmtId="44" fontId="40" fillId="3" borderId="4" xfId="0" applyNumberFormat="1" applyFont="1" applyFill="1" applyBorder="1" applyAlignment="1">
      <alignment horizontal="center"/>
    </xf>
    <xf numFmtId="164" fontId="12" fillId="2" borderId="4" xfId="0" applyNumberFormat="1" applyFont="1" applyFill="1" applyBorder="1" applyAlignment="1">
      <alignment horizontal="right" vertical="center"/>
    </xf>
    <xf numFmtId="44" fontId="10" fillId="3" borderId="4" xfId="0" applyNumberFormat="1" applyFont="1" applyFill="1" applyBorder="1" applyAlignment="1">
      <alignment horizontal="center" vertical="center"/>
    </xf>
    <xf numFmtId="0" fontId="12" fillId="2" borderId="4" xfId="0" applyFont="1" applyFill="1" applyBorder="1" applyAlignment="1">
      <alignment vertical="center"/>
    </xf>
    <xf numFmtId="44" fontId="12" fillId="3" borderId="4" xfId="0" applyNumberFormat="1" applyFont="1" applyFill="1" applyBorder="1" applyAlignment="1">
      <alignment vertical="center"/>
    </xf>
    <xf numFmtId="44" fontId="7" fillId="3" borderId="22" xfId="0" applyNumberFormat="1" applyFont="1" applyFill="1" applyBorder="1" applyAlignment="1">
      <alignment horizontal="center"/>
    </xf>
    <xf numFmtId="44" fontId="7" fillId="3" borderId="23" xfId="0" applyNumberFormat="1" applyFont="1" applyFill="1" applyBorder="1" applyAlignment="1">
      <alignment horizontal="center"/>
    </xf>
    <xf numFmtId="44" fontId="7" fillId="3" borderId="12" xfId="0" applyNumberFormat="1" applyFont="1" applyFill="1" applyBorder="1" applyAlignment="1">
      <alignment horizontal="center"/>
    </xf>
    <xf numFmtId="164" fontId="39" fillId="2" borderId="4" xfId="0" applyNumberFormat="1" applyFont="1" applyFill="1" applyBorder="1" applyAlignment="1">
      <alignment horizontal="center" vertical="center"/>
    </xf>
    <xf numFmtId="3" fontId="12" fillId="0" borderId="4" xfId="0" applyNumberFormat="1" applyFont="1" applyBorder="1" applyAlignment="1">
      <alignment vertical="center"/>
    </xf>
    <xf numFmtId="0" fontId="41" fillId="2" borderId="4" xfId="0" applyFont="1" applyFill="1" applyBorder="1" applyAlignment="1">
      <alignment horizontal="center"/>
    </xf>
    <xf numFmtId="3" fontId="29" fillId="0" borderId="4" xfId="0" applyNumberFormat="1" applyFont="1" applyBorder="1" applyAlignment="1"/>
    <xf numFmtId="44" fontId="7" fillId="0" borderId="0" xfId="0" applyNumberFormat="1" applyFont="1" applyAlignment="1">
      <alignment horizontal="center"/>
    </xf>
    <xf numFmtId="3" fontId="7" fillId="0" borderId="16" xfId="0" applyNumberFormat="1" applyFont="1" applyBorder="1" applyAlignment="1">
      <alignment horizontal="center"/>
    </xf>
    <xf numFmtId="3" fontId="42" fillId="0" borderId="12" xfId="0" applyNumberFormat="1" applyFont="1" applyBorder="1" applyAlignment="1">
      <alignment horizontal="center"/>
    </xf>
    <xf numFmtId="0" fontId="28" fillId="0" borderId="0" xfId="0" applyFont="1" applyAlignment="1"/>
    <xf numFmtId="3" fontId="7" fillId="0" borderId="12" xfId="0" applyNumberFormat="1" applyFont="1" applyBorder="1" applyAlignment="1">
      <alignment horizontal="center"/>
    </xf>
    <xf numFmtId="44" fontId="7" fillId="0" borderId="0" xfId="0" applyNumberFormat="1" applyFont="1" applyAlignment="1">
      <alignment horizontal="left"/>
    </xf>
    <xf numFmtId="44" fontId="7" fillId="0" borderId="0" xfId="0" applyNumberFormat="1" applyFont="1"/>
    <xf numFmtId="0" fontId="44" fillId="0" borderId="0" xfId="0" applyFont="1" applyAlignment="1">
      <alignment vertical="top" wrapText="1"/>
    </xf>
    <xf numFmtId="0" fontId="50" fillId="0" borderId="4" xfId="0" applyFont="1" applyBorder="1" applyAlignment="1">
      <alignment vertical="top" wrapText="1"/>
    </xf>
    <xf numFmtId="0" fontId="50" fillId="0" borderId="4" xfId="0" applyFont="1" applyBorder="1" applyAlignment="1"/>
    <xf numFmtId="0" fontId="44" fillId="0" borderId="0" xfId="0" applyFont="1" applyAlignment="1">
      <alignment horizontal="center" wrapText="1"/>
    </xf>
    <xf numFmtId="0" fontId="44" fillId="0" borderId="32" xfId="0" applyFont="1" applyBorder="1" applyAlignment="1">
      <alignment horizontal="center" wrapText="1"/>
    </xf>
    <xf numFmtId="49" fontId="7" fillId="8" borderId="33" xfId="0" applyNumberFormat="1" applyFont="1" applyFill="1" applyBorder="1" applyAlignment="1">
      <alignment horizontal="center"/>
    </xf>
    <xf numFmtId="0" fontId="44" fillId="0" borderId="0" xfId="0" applyFont="1" applyAlignment="1">
      <alignment vertical="top" wrapText="1"/>
    </xf>
    <xf numFmtId="0" fontId="10" fillId="0" borderId="19" xfId="0" applyFont="1" applyBorder="1" applyAlignment="1">
      <alignment horizontal="right" vertical="center"/>
    </xf>
    <xf numFmtId="0" fontId="44" fillId="0" borderId="0" xfId="0" applyFont="1" applyAlignment="1">
      <alignment horizontal="center" vertical="top" wrapText="1"/>
    </xf>
    <xf numFmtId="0" fontId="44" fillId="0" borderId="17" xfId="0" applyFont="1" applyBorder="1" applyAlignment="1">
      <alignment horizontal="center" wrapText="1"/>
    </xf>
    <xf numFmtId="0" fontId="44" fillId="0" borderId="5" xfId="0" applyFont="1" applyBorder="1" applyAlignment="1">
      <alignment horizontal="center" wrapText="1"/>
    </xf>
    <xf numFmtId="0" fontId="56" fillId="2" borderId="5" xfId="0" applyFont="1" applyFill="1" applyBorder="1" applyAlignment="1">
      <alignment horizontal="left" wrapText="1"/>
    </xf>
    <xf numFmtId="0" fontId="44" fillId="8" borderId="35" xfId="0" applyFont="1" applyFill="1" applyBorder="1" applyAlignment="1">
      <alignment horizontal="center" wrapText="1"/>
    </xf>
    <xf numFmtId="165" fontId="44" fillId="8" borderId="5" xfId="0" applyNumberFormat="1" applyFont="1" applyFill="1" applyBorder="1" applyAlignment="1">
      <alignment horizontal="center" wrapText="1"/>
    </xf>
    <xf numFmtId="0" fontId="44" fillId="0" borderId="33" xfId="0" applyFont="1" applyBorder="1" applyAlignment="1">
      <alignment horizontal="center" wrapText="1"/>
    </xf>
    <xf numFmtId="3" fontId="44" fillId="0" borderId="33" xfId="0" applyNumberFormat="1" applyFont="1" applyBorder="1" applyAlignment="1">
      <alignment horizontal="center" wrapText="1"/>
    </xf>
    <xf numFmtId="3" fontId="44" fillId="4" borderId="33" xfId="0" applyNumberFormat="1" applyFont="1" applyFill="1" applyBorder="1" applyAlignment="1">
      <alignment horizontal="center" wrapText="1"/>
    </xf>
    <xf numFmtId="4" fontId="44" fillId="2" borderId="33" xfId="0" applyNumberFormat="1" applyFont="1" applyFill="1" applyBorder="1" applyAlignment="1">
      <alignment horizontal="center" wrapText="1"/>
    </xf>
    <xf numFmtId="168" fontId="44" fillId="2" borderId="33" xfId="0" applyNumberFormat="1" applyFont="1" applyFill="1" applyBorder="1" applyAlignment="1">
      <alignment horizontal="center" wrapText="1"/>
    </xf>
    <xf numFmtId="0" fontId="44" fillId="0" borderId="32" xfId="0" applyFont="1" applyBorder="1" applyAlignment="1">
      <alignment vertical="top" wrapText="1"/>
    </xf>
    <xf numFmtId="0" fontId="19" fillId="0" borderId="15" xfId="0" applyFont="1" applyBorder="1" applyAlignment="1"/>
    <xf numFmtId="0" fontId="56" fillId="2" borderId="15" xfId="0" applyFont="1" applyFill="1" applyBorder="1" applyAlignment="1">
      <alignment horizontal="left" vertical="top"/>
    </xf>
    <xf numFmtId="0" fontId="19" fillId="0" borderId="15" xfId="0" applyFont="1" applyBorder="1" applyAlignment="1">
      <alignment vertical="top"/>
    </xf>
    <xf numFmtId="0" fontId="44" fillId="0" borderId="15" xfId="0" applyFont="1" applyBorder="1" applyAlignment="1">
      <alignment wrapText="1"/>
    </xf>
    <xf numFmtId="3" fontId="44" fillId="0" borderId="15" xfId="0" applyNumberFormat="1" applyFont="1" applyBorder="1" applyAlignment="1">
      <alignment horizontal="center"/>
    </xf>
    <xf numFmtId="44" fontId="19" fillId="4" borderId="36" xfId="0" applyNumberFormat="1" applyFont="1" applyFill="1" applyBorder="1" applyAlignment="1">
      <alignment horizontal="center"/>
    </xf>
    <xf numFmtId="166" fontId="19" fillId="8" borderId="15" xfId="0" applyNumberFormat="1" applyFont="1" applyFill="1" applyBorder="1" applyAlignment="1">
      <alignment horizontal="center"/>
    </xf>
    <xf numFmtId="166" fontId="19" fillId="8" borderId="15" xfId="0" applyNumberFormat="1" applyFont="1" applyFill="1" applyBorder="1"/>
    <xf numFmtId="0" fontId="44" fillId="0" borderId="12" xfId="0" applyFont="1" applyBorder="1" applyAlignment="1">
      <alignment vertical="top" wrapText="1"/>
    </xf>
    <xf numFmtId="0" fontId="19" fillId="0" borderId="12" xfId="0" applyFont="1" applyBorder="1" applyAlignment="1"/>
    <xf numFmtId="0" fontId="56" fillId="2" borderId="12" xfId="0" applyFont="1" applyFill="1" applyBorder="1" applyAlignment="1">
      <alignment horizontal="left" vertical="top"/>
    </xf>
    <xf numFmtId="0" fontId="19" fillId="0" borderId="12" xfId="0" applyFont="1" applyBorder="1" applyAlignment="1">
      <alignment vertical="top"/>
    </xf>
    <xf numFmtId="0" fontId="44" fillId="0" borderId="12" xfId="0" applyFont="1" applyBorder="1" applyAlignment="1">
      <alignment wrapText="1"/>
    </xf>
    <xf numFmtId="3" fontId="44" fillId="0" borderId="12" xfId="0" applyNumberFormat="1" applyFont="1" applyBorder="1" applyAlignment="1">
      <alignment horizontal="center"/>
    </xf>
    <xf numFmtId="44" fontId="19" fillId="4" borderId="21" xfId="0" applyNumberFormat="1" applyFont="1" applyFill="1" applyBorder="1" applyAlignment="1">
      <alignment horizontal="center"/>
    </xf>
    <xf numFmtId="166" fontId="19" fillId="8" borderId="12" xfId="0" applyNumberFormat="1" applyFont="1" applyFill="1" applyBorder="1" applyAlignment="1">
      <alignment horizontal="center"/>
    </xf>
    <xf numFmtId="166" fontId="19" fillId="8" borderId="12" xfId="0" applyNumberFormat="1" applyFont="1" applyFill="1" applyBorder="1"/>
    <xf numFmtId="0" fontId="19" fillId="0" borderId="32" xfId="0" applyFont="1" applyBorder="1" applyAlignment="1"/>
    <xf numFmtId="0" fontId="56" fillId="2" borderId="32" xfId="0" applyFont="1" applyFill="1" applyBorder="1" applyAlignment="1">
      <alignment horizontal="left" vertical="top" wrapText="1"/>
    </xf>
    <xf numFmtId="0" fontId="19" fillId="0" borderId="32" xfId="0" applyFont="1" applyBorder="1" applyAlignment="1">
      <alignment vertical="top"/>
    </xf>
    <xf numFmtId="0" fontId="44" fillId="0" borderId="32" xfId="0" applyFont="1" applyBorder="1" applyAlignment="1">
      <alignment wrapText="1"/>
    </xf>
    <xf numFmtId="3" fontId="44" fillId="0" borderId="32" xfId="0" applyNumberFormat="1" applyFont="1" applyBorder="1" applyAlignment="1">
      <alignment horizontal="center"/>
    </xf>
    <xf numFmtId="166" fontId="19" fillId="8" borderId="21" xfId="0" applyNumberFormat="1" applyFont="1" applyFill="1" applyBorder="1" applyAlignment="1">
      <alignment horizontal="center"/>
    </xf>
    <xf numFmtId="8" fontId="19" fillId="8" borderId="32" xfId="0" applyNumberFormat="1" applyFont="1" applyFill="1" applyBorder="1"/>
    <xf numFmtId="0" fontId="28" fillId="0" borderId="0" xfId="0" applyFont="1" applyAlignment="1">
      <alignment vertical="top"/>
    </xf>
    <xf numFmtId="0" fontId="44" fillId="0" borderId="32" xfId="0" applyFont="1" applyBorder="1" applyAlignment="1">
      <alignment horizontal="left" vertical="center" wrapText="1"/>
    </xf>
    <xf numFmtId="0" fontId="19" fillId="0" borderId="32" xfId="0" applyFont="1" applyBorder="1" applyAlignment="1">
      <alignment horizontal="center" vertical="top"/>
    </xf>
    <xf numFmtId="0" fontId="44" fillId="0" borderId="32" xfId="0" applyFont="1" applyBorder="1" applyAlignment="1">
      <alignment horizontal="center" vertical="center" wrapText="1"/>
    </xf>
    <xf numFmtId="3" fontId="44" fillId="0" borderId="32" xfId="0" applyNumberFormat="1" applyFont="1" applyBorder="1" applyAlignment="1">
      <alignment horizontal="center" vertical="center"/>
    </xf>
    <xf numFmtId="44" fontId="19" fillId="4" borderId="32" xfId="0" applyNumberFormat="1" applyFont="1" applyFill="1" applyBorder="1" applyAlignment="1">
      <alignment horizontal="center"/>
    </xf>
    <xf numFmtId="166" fontId="19" fillId="8" borderId="32" xfId="0" applyNumberFormat="1" applyFont="1" applyFill="1" applyBorder="1" applyAlignment="1">
      <alignment horizontal="center" vertical="center"/>
    </xf>
    <xf numFmtId="8" fontId="19" fillId="8" borderId="32" xfId="0" applyNumberFormat="1" applyFont="1" applyFill="1" applyBorder="1" applyAlignment="1">
      <alignment horizontal="right" vertical="center"/>
    </xf>
    <xf numFmtId="0" fontId="56" fillId="2" borderId="32" xfId="0" applyFont="1" applyFill="1" applyBorder="1" applyAlignment="1">
      <alignment horizontal="left" vertical="top"/>
    </xf>
    <xf numFmtId="166" fontId="19" fillId="8" borderId="32" xfId="0" applyNumberFormat="1" applyFont="1" applyFill="1" applyBorder="1" applyAlignment="1">
      <alignment horizontal="center"/>
    </xf>
    <xf numFmtId="0" fontId="28" fillId="0" borderId="0" xfId="0" applyFont="1" applyAlignment="1">
      <alignment vertical="top"/>
    </xf>
    <xf numFmtId="0" fontId="44" fillId="0" borderId="15" xfId="0" applyFont="1" applyBorder="1" applyAlignment="1">
      <alignment vertical="top" wrapText="1"/>
    </xf>
    <xf numFmtId="0" fontId="44" fillId="0" borderId="15" xfId="0" applyFont="1" applyBorder="1" applyAlignment="1">
      <alignment horizontal="right"/>
    </xf>
    <xf numFmtId="44" fontId="19" fillId="4" borderId="15" xfId="0" applyNumberFormat="1" applyFont="1" applyFill="1" applyBorder="1" applyAlignment="1">
      <alignment horizontal="center"/>
    </xf>
    <xf numFmtId="8" fontId="19" fillId="8" borderId="15" xfId="0" applyNumberFormat="1" applyFont="1" applyFill="1" applyBorder="1"/>
    <xf numFmtId="0" fontId="44" fillId="0" borderId="33" xfId="0" applyFont="1" applyBorder="1" applyAlignment="1">
      <alignment vertical="top" wrapText="1"/>
    </xf>
    <xf numFmtId="0" fontId="19" fillId="0" borderId="33" xfId="0" applyFont="1" applyBorder="1" applyAlignment="1"/>
    <xf numFmtId="0" fontId="56" fillId="2" borderId="33" xfId="0" applyFont="1" applyFill="1" applyBorder="1" applyAlignment="1">
      <alignment horizontal="left" vertical="top"/>
    </xf>
    <xf numFmtId="0" fontId="19" fillId="0" borderId="33" xfId="0" applyFont="1" applyBorder="1" applyAlignment="1">
      <alignment vertical="top"/>
    </xf>
    <xf numFmtId="0" fontId="44" fillId="0" borderId="33" xfId="0" applyFont="1" applyBorder="1" applyAlignment="1">
      <alignment wrapText="1"/>
    </xf>
    <xf numFmtId="3" fontId="44" fillId="0" borderId="33" xfId="0" applyNumberFormat="1" applyFont="1" applyBorder="1" applyAlignment="1">
      <alignment horizontal="center"/>
    </xf>
    <xf numFmtId="166" fontId="19" fillId="8" borderId="36" xfId="0" applyNumberFormat="1" applyFont="1" applyFill="1" applyBorder="1" applyAlignment="1">
      <alignment horizontal="center"/>
    </xf>
    <xf numFmtId="8" fontId="19" fillId="8" borderId="33" xfId="0" applyNumberFormat="1" applyFont="1" applyFill="1" applyBorder="1"/>
    <xf numFmtId="166" fontId="19" fillId="8" borderId="23" xfId="0" applyNumberFormat="1" applyFont="1" applyFill="1" applyBorder="1" applyAlignment="1">
      <alignment horizontal="center"/>
    </xf>
    <xf numFmtId="0" fontId="19" fillId="0" borderId="15" xfId="0" applyFont="1" applyBorder="1"/>
    <xf numFmtId="0" fontId="56" fillId="2" borderId="15" xfId="0" applyFont="1" applyFill="1" applyBorder="1" applyAlignment="1">
      <alignment horizontal="left" vertical="top"/>
    </xf>
    <xf numFmtId="44" fontId="19" fillId="4" borderId="12" xfId="0" applyNumberFormat="1" applyFont="1" applyFill="1" applyBorder="1" applyAlignment="1">
      <alignment horizontal="center"/>
    </xf>
    <xf numFmtId="166" fontId="19" fillId="8" borderId="22" xfId="0" applyNumberFormat="1" applyFont="1" applyFill="1" applyBorder="1" applyAlignment="1">
      <alignment horizontal="center"/>
    </xf>
    <xf numFmtId="0" fontId="44" fillId="0" borderId="33" xfId="0" applyFont="1" applyBorder="1" applyAlignment="1">
      <alignment horizontal="left"/>
    </xf>
    <xf numFmtId="0" fontId="56" fillId="2" borderId="33" xfId="0" applyFont="1" applyFill="1" applyBorder="1" applyAlignment="1">
      <alignment horizontal="left" vertical="top"/>
    </xf>
    <xf numFmtId="0" fontId="19" fillId="0" borderId="32" xfId="0" applyFont="1" applyBorder="1" applyAlignment="1">
      <alignment horizontal="left"/>
    </xf>
    <xf numFmtId="0" fontId="19" fillId="0" borderId="32" xfId="0" applyFont="1" applyBorder="1"/>
    <xf numFmtId="166" fontId="19" fillId="8" borderId="32" xfId="0" applyNumberFormat="1" applyFont="1" applyFill="1" applyBorder="1"/>
    <xf numFmtId="0" fontId="44" fillId="0" borderId="15" xfId="0" applyFont="1" applyBorder="1" applyAlignment="1">
      <alignment horizontal="left"/>
    </xf>
    <xf numFmtId="0" fontId="19" fillId="0" borderId="33" xfId="0" applyFont="1" applyBorder="1" applyAlignment="1">
      <alignment horizontal="left"/>
    </xf>
    <xf numFmtId="0" fontId="44" fillId="0" borderId="33" xfId="0" applyFont="1" applyBorder="1" applyAlignment="1">
      <alignment horizontal="right"/>
    </xf>
    <xf numFmtId="166" fontId="19" fillId="8" borderId="37" xfId="0" applyNumberFormat="1" applyFont="1" applyFill="1" applyBorder="1" applyAlignment="1">
      <alignment horizontal="center"/>
    </xf>
    <xf numFmtId="0" fontId="19" fillId="0" borderId="32" xfId="0" applyFont="1" applyBorder="1" applyAlignment="1">
      <alignment horizontal="left"/>
    </xf>
    <xf numFmtId="0" fontId="44" fillId="0" borderId="33" xfId="0" applyFont="1" applyBorder="1" applyAlignment="1">
      <alignment horizontal="right"/>
    </xf>
    <xf numFmtId="44" fontId="19" fillId="4" borderId="33" xfId="0" applyNumberFormat="1" applyFont="1" applyFill="1" applyBorder="1" applyAlignment="1">
      <alignment horizontal="center"/>
    </xf>
    <xf numFmtId="44" fontId="19" fillId="8" borderId="33" xfId="0" applyNumberFormat="1" applyFont="1" applyFill="1" applyBorder="1" applyAlignment="1">
      <alignment horizontal="center"/>
    </xf>
    <xf numFmtId="166" fontId="19" fillId="8" borderId="33" xfId="0" applyNumberFormat="1" applyFont="1" applyFill="1" applyBorder="1" applyAlignment="1">
      <alignment horizontal="center"/>
    </xf>
    <xf numFmtId="166" fontId="19" fillId="8" borderId="33" xfId="0" applyNumberFormat="1" applyFont="1" applyFill="1" applyBorder="1"/>
    <xf numFmtId="0" fontId="19" fillId="8" borderId="15" xfId="0" applyFont="1" applyFill="1" applyBorder="1" applyAlignment="1">
      <alignment horizontal="center"/>
    </xf>
    <xf numFmtId="0" fontId="19" fillId="0" borderId="32" xfId="0" applyFont="1" applyBorder="1" applyAlignment="1">
      <alignment horizontal="left"/>
    </xf>
    <xf numFmtId="0" fontId="44" fillId="0" borderId="15" xfId="0" applyFont="1" applyBorder="1" applyAlignment="1">
      <alignment horizontal="left"/>
    </xf>
    <xf numFmtId="0" fontId="44" fillId="0" borderId="32" xfId="0" applyFont="1" applyBorder="1" applyAlignment="1">
      <alignment horizontal="left"/>
    </xf>
    <xf numFmtId="0" fontId="19" fillId="0" borderId="33" xfId="0" applyFont="1" applyBorder="1" applyAlignment="1">
      <alignment horizontal="left"/>
    </xf>
    <xf numFmtId="0" fontId="19" fillId="0" borderId="12" xfId="0" applyFont="1" applyBorder="1" applyAlignment="1">
      <alignment wrapText="1"/>
    </xf>
    <xf numFmtId="0" fontId="56" fillId="2" borderId="12" xfId="0" applyFont="1" applyFill="1" applyBorder="1" applyAlignment="1">
      <alignment horizontal="left" vertical="top" wrapText="1"/>
    </xf>
    <xf numFmtId="0" fontId="19" fillId="0" borderId="12" xfId="0" applyFont="1" applyBorder="1" applyAlignment="1">
      <alignment vertical="top"/>
    </xf>
    <xf numFmtId="8" fontId="19" fillId="8" borderId="12" xfId="0" applyNumberFormat="1" applyFont="1" applyFill="1" applyBorder="1"/>
    <xf numFmtId="0" fontId="19" fillId="0" borderId="33" xfId="0" applyFont="1" applyBorder="1" applyAlignment="1">
      <alignment horizontal="left"/>
    </xf>
    <xf numFmtId="0" fontId="19" fillId="8" borderId="23" xfId="0" applyFont="1" applyFill="1" applyBorder="1" applyAlignment="1">
      <alignment horizontal="center"/>
    </xf>
    <xf numFmtId="0" fontId="19" fillId="8" borderId="33" xfId="0" applyFont="1" applyFill="1" applyBorder="1"/>
    <xf numFmtId="168" fontId="19" fillId="8" borderId="21" xfId="0" applyNumberFormat="1" applyFont="1" applyFill="1" applyBorder="1" applyAlignment="1">
      <alignment horizontal="center"/>
    </xf>
    <xf numFmtId="0" fontId="44" fillId="0" borderId="15" xfId="0" applyFont="1" applyBorder="1" applyAlignment="1">
      <alignment horizontal="right"/>
    </xf>
    <xf numFmtId="168" fontId="19" fillId="8" borderId="22" xfId="0" applyNumberFormat="1" applyFont="1" applyFill="1" applyBorder="1" applyAlignment="1">
      <alignment horizontal="center"/>
    </xf>
    <xf numFmtId="168" fontId="19" fillId="8" borderId="23" xfId="0" applyNumberFormat="1" applyFont="1" applyFill="1" applyBorder="1" applyAlignment="1">
      <alignment horizontal="center"/>
    </xf>
    <xf numFmtId="0" fontId="19" fillId="0" borderId="12" xfId="0" applyFont="1" applyBorder="1" applyAlignment="1">
      <alignment horizontal="left"/>
    </xf>
    <xf numFmtId="168" fontId="19" fillId="8" borderId="12" xfId="0" applyNumberFormat="1" applyFont="1" applyFill="1" applyBorder="1" applyAlignment="1">
      <alignment horizontal="center"/>
    </xf>
    <xf numFmtId="0" fontId="19" fillId="0" borderId="15" xfId="0" applyFont="1" applyBorder="1" applyAlignment="1">
      <alignment horizontal="left"/>
    </xf>
    <xf numFmtId="49" fontId="42" fillId="2" borderId="19" xfId="0" applyNumberFormat="1" applyFont="1" applyFill="1" applyBorder="1" applyAlignment="1">
      <alignment horizontal="center"/>
    </xf>
    <xf numFmtId="2" fontId="56" fillId="2" borderId="12" xfId="0" applyNumberFormat="1" applyFont="1" applyFill="1" applyBorder="1" applyAlignment="1">
      <alignment horizontal="left" vertical="top" wrapText="1"/>
    </xf>
    <xf numFmtId="0" fontId="19" fillId="0" borderId="12" xfId="0" applyFont="1" applyBorder="1" applyAlignment="1">
      <alignment vertical="top" wrapText="1"/>
    </xf>
    <xf numFmtId="0" fontId="44" fillId="0" borderId="12" xfId="0" applyFont="1" applyBorder="1" applyAlignment="1">
      <alignment horizontal="center"/>
    </xf>
    <xf numFmtId="0" fontId="10" fillId="0" borderId="40" xfId="0" applyFont="1" applyBorder="1" applyAlignment="1">
      <alignment horizontal="right" vertical="center"/>
    </xf>
    <xf numFmtId="0" fontId="19" fillId="0" borderId="32" xfId="0" applyFont="1" applyBorder="1" applyAlignment="1">
      <alignment vertical="top"/>
    </xf>
    <xf numFmtId="168" fontId="19" fillId="8" borderId="32" xfId="0" applyNumberFormat="1" applyFont="1" applyFill="1" applyBorder="1" applyAlignment="1">
      <alignment horizontal="center"/>
    </xf>
    <xf numFmtId="0" fontId="44" fillId="0" borderId="33" xfId="0" applyFont="1" applyBorder="1" applyAlignment="1"/>
    <xf numFmtId="168" fontId="59" fillId="8" borderId="33" xfId="0" applyNumberFormat="1" applyFont="1" applyFill="1" applyBorder="1" applyAlignment="1">
      <alignment horizontal="center"/>
    </xf>
    <xf numFmtId="8" fontId="59" fillId="8" borderId="33" xfId="0" applyNumberFormat="1" applyFont="1" applyFill="1" applyBorder="1" applyAlignment="1"/>
    <xf numFmtId="0" fontId="60" fillId="0" borderId="32" xfId="0" applyFont="1" applyBorder="1" applyAlignment="1">
      <alignment horizontal="center" wrapText="1"/>
    </xf>
    <xf numFmtId="0" fontId="19" fillId="0" borderId="32" xfId="0" applyFont="1" applyBorder="1" applyAlignment="1">
      <alignment horizontal="left" vertical="top"/>
    </xf>
    <xf numFmtId="3" fontId="56" fillId="0" borderId="32" xfId="0" applyNumberFormat="1" applyFont="1" applyBorder="1" applyAlignment="1">
      <alignment horizontal="center"/>
    </xf>
    <xf numFmtId="0" fontId="44" fillId="0" borderId="15" xfId="0" applyFont="1" applyBorder="1" applyAlignment="1"/>
    <xf numFmtId="0" fontId="19" fillId="0" borderId="15" xfId="0" applyFont="1" applyBorder="1" applyAlignment="1">
      <alignment horizontal="left" vertical="top"/>
    </xf>
    <xf numFmtId="168" fontId="19" fillId="8" borderId="15" xfId="0" applyNumberFormat="1" applyFont="1" applyFill="1" applyBorder="1" applyAlignment="1">
      <alignment horizontal="center"/>
    </xf>
    <xf numFmtId="0" fontId="56" fillId="0" borderId="0" xfId="0" applyFont="1" applyAlignment="1">
      <alignment horizontal="left"/>
    </xf>
    <xf numFmtId="0" fontId="19" fillId="0" borderId="33" xfId="0" applyFont="1" applyBorder="1" applyAlignment="1">
      <alignment horizontal="left" vertical="top"/>
    </xf>
    <xf numFmtId="168" fontId="19" fillId="8" borderId="43" xfId="0" applyNumberFormat="1" applyFont="1" applyFill="1" applyBorder="1" applyAlignment="1">
      <alignment horizontal="center"/>
    </xf>
    <xf numFmtId="8" fontId="19" fillId="8" borderId="17" xfId="0" applyNumberFormat="1" applyFont="1" applyFill="1" applyBorder="1"/>
    <xf numFmtId="168" fontId="19" fillId="8" borderId="44" xfId="0" applyNumberFormat="1" applyFont="1" applyFill="1" applyBorder="1" applyAlignment="1">
      <alignment horizontal="center"/>
    </xf>
    <xf numFmtId="8" fontId="19" fillId="8" borderId="14" xfId="0" applyNumberFormat="1" applyFont="1" applyFill="1" applyBorder="1"/>
    <xf numFmtId="0" fontId="56" fillId="2" borderId="0" xfId="0" applyFont="1" applyFill="1" applyAlignment="1">
      <alignment horizontal="left"/>
    </xf>
    <xf numFmtId="0" fontId="19" fillId="0" borderId="33" xfId="0" applyFont="1" applyBorder="1" applyAlignment="1">
      <alignment horizontal="left" vertical="top"/>
    </xf>
    <xf numFmtId="44" fontId="19" fillId="4" borderId="23" xfId="0" applyNumberFormat="1" applyFont="1" applyFill="1" applyBorder="1" applyAlignment="1">
      <alignment horizontal="center"/>
    </xf>
    <xf numFmtId="168" fontId="19" fillId="8" borderId="45" xfId="0" applyNumberFormat="1" applyFont="1" applyFill="1" applyBorder="1" applyAlignment="1">
      <alignment horizontal="center"/>
    </xf>
    <xf numFmtId="0" fontId="59" fillId="0" borderId="15" xfId="0" applyFont="1" applyBorder="1" applyAlignment="1">
      <alignment vertical="top"/>
    </xf>
    <xf numFmtId="0" fontId="23" fillId="0" borderId="15" xfId="0" applyFont="1" applyBorder="1" applyAlignment="1">
      <alignment wrapText="1"/>
    </xf>
    <xf numFmtId="3" fontId="23" fillId="0" borderId="15" xfId="0" applyNumberFormat="1" applyFont="1" applyBorder="1" applyAlignment="1">
      <alignment horizontal="center"/>
    </xf>
    <xf numFmtId="168" fontId="59" fillId="8" borderId="45" xfId="0" applyNumberFormat="1" applyFont="1" applyFill="1" applyBorder="1" applyAlignment="1">
      <alignment horizontal="center"/>
    </xf>
    <xf numFmtId="0" fontId="56" fillId="2" borderId="16" xfId="0" applyFont="1" applyFill="1" applyBorder="1" applyAlignment="1">
      <alignment horizontal="left"/>
    </xf>
    <xf numFmtId="168" fontId="19" fillId="8" borderId="46" xfId="0" applyNumberFormat="1" applyFont="1" applyFill="1" applyBorder="1" applyAlignment="1">
      <alignment horizontal="center"/>
    </xf>
    <xf numFmtId="8" fontId="19" fillId="8" borderId="3" xfId="0" applyNumberFormat="1" applyFont="1" applyFill="1" applyBorder="1"/>
    <xf numFmtId="8" fontId="59" fillId="8" borderId="14" xfId="0" applyNumberFormat="1" applyFont="1" applyFill="1" applyBorder="1"/>
    <xf numFmtId="0" fontId="19" fillId="0" borderId="5" xfId="0" applyFont="1" applyBorder="1" applyAlignment="1">
      <alignment horizontal="left"/>
    </xf>
    <xf numFmtId="0" fontId="56" fillId="2" borderId="32" xfId="0" applyFont="1" applyFill="1" applyBorder="1" applyAlignment="1">
      <alignment horizontal="left"/>
    </xf>
    <xf numFmtId="0" fontId="19" fillId="0" borderId="33" xfId="0" applyFont="1" applyBorder="1" applyAlignment="1">
      <alignment vertical="top"/>
    </xf>
    <xf numFmtId="168" fontId="19" fillId="8" borderId="33" xfId="0" applyNumberFormat="1" applyFont="1" applyFill="1" applyBorder="1" applyAlignment="1">
      <alignment horizontal="center"/>
    </xf>
    <xf numFmtId="0" fontId="19" fillId="0" borderId="32" xfId="0" applyFont="1" applyBorder="1" applyAlignment="1">
      <alignment horizontal="left" vertical="top"/>
    </xf>
    <xf numFmtId="3" fontId="44" fillId="0" borderId="32" xfId="0" applyNumberFormat="1" applyFont="1" applyBorder="1" applyAlignment="1">
      <alignment horizontal="center" vertical="top"/>
    </xf>
    <xf numFmtId="168" fontId="19" fillId="8" borderId="32" xfId="0" applyNumberFormat="1" applyFont="1" applyFill="1" applyBorder="1" applyAlignment="1">
      <alignment horizontal="center" vertical="top"/>
    </xf>
    <xf numFmtId="8" fontId="19" fillId="8" borderId="3" xfId="0" applyNumberFormat="1" applyFont="1" applyFill="1" applyBorder="1" applyAlignment="1">
      <alignment vertical="top"/>
    </xf>
    <xf numFmtId="0" fontId="23" fillId="0" borderId="33" xfId="0" applyFont="1" applyBorder="1" applyAlignment="1">
      <alignment vertical="top" wrapText="1"/>
    </xf>
    <xf numFmtId="0" fontId="23" fillId="0" borderId="33" xfId="0" applyFont="1" applyBorder="1" applyAlignment="1">
      <alignment horizontal="left"/>
    </xf>
    <xf numFmtId="0" fontId="59" fillId="0" borderId="33" xfId="0" applyFont="1" applyBorder="1" applyAlignment="1">
      <alignment vertical="top"/>
    </xf>
    <xf numFmtId="0" fontId="23" fillId="0" borderId="33" xfId="0" applyFont="1" applyBorder="1" applyAlignment="1">
      <alignment wrapText="1"/>
    </xf>
    <xf numFmtId="3" fontId="23" fillId="0" borderId="33" xfId="0" applyNumberFormat="1" applyFont="1" applyBorder="1" applyAlignment="1">
      <alignment horizontal="center"/>
    </xf>
    <xf numFmtId="168" fontId="59" fillId="8" borderId="33" xfId="0" applyNumberFormat="1" applyFont="1" applyFill="1" applyBorder="1" applyAlignment="1">
      <alignment horizontal="center" vertical="top"/>
    </xf>
    <xf numFmtId="8" fontId="59" fillId="8" borderId="17" xfId="0" applyNumberFormat="1" applyFont="1" applyFill="1" applyBorder="1"/>
    <xf numFmtId="168" fontId="59" fillId="8" borderId="15" xfId="0" applyNumberFormat="1" applyFont="1" applyFill="1" applyBorder="1" applyAlignment="1">
      <alignment horizontal="center"/>
    </xf>
    <xf numFmtId="0" fontId="19" fillId="0" borderId="15" xfId="0" applyFont="1" applyBorder="1" applyAlignment="1">
      <alignment horizontal="left"/>
    </xf>
    <xf numFmtId="0" fontId="19" fillId="0" borderId="15" xfId="0" applyFont="1" applyBorder="1" applyAlignment="1">
      <alignment vertical="top"/>
    </xf>
    <xf numFmtId="0" fontId="44" fillId="0" borderId="15" xfId="0" applyFont="1" applyBorder="1" applyAlignment="1">
      <alignment wrapText="1"/>
    </xf>
    <xf numFmtId="3" fontId="44" fillId="0" borderId="15" xfId="0" applyNumberFormat="1" applyFont="1" applyBorder="1" applyAlignment="1">
      <alignment horizontal="center"/>
    </xf>
    <xf numFmtId="0" fontId="56" fillId="2" borderId="12" xfId="0" applyFont="1" applyFill="1" applyBorder="1" applyAlignment="1">
      <alignment horizontal="left"/>
    </xf>
    <xf numFmtId="168" fontId="19" fillId="8" borderId="11" xfId="0" applyNumberFormat="1" applyFont="1" applyFill="1" applyBorder="1" applyAlignment="1">
      <alignment horizontal="center"/>
    </xf>
    <xf numFmtId="0" fontId="56" fillId="0" borderId="12" xfId="0" applyFont="1" applyBorder="1" applyAlignment="1">
      <alignment vertical="top" wrapText="1"/>
    </xf>
    <xf numFmtId="0" fontId="56" fillId="0" borderId="12" xfId="0" applyFont="1" applyBorder="1" applyAlignment="1">
      <alignment horizontal="left"/>
    </xf>
    <xf numFmtId="0" fontId="56" fillId="0" borderId="26" xfId="0" applyFont="1" applyBorder="1" applyAlignment="1">
      <alignment vertical="top" wrapText="1"/>
    </xf>
    <xf numFmtId="0" fontId="19" fillId="0" borderId="1" xfId="0" applyFont="1" applyBorder="1" applyAlignment="1">
      <alignment horizontal="left"/>
    </xf>
    <xf numFmtId="0" fontId="19" fillId="0" borderId="13" xfId="0" applyFont="1" applyBorder="1" applyAlignment="1">
      <alignment horizontal="left"/>
    </xf>
    <xf numFmtId="168" fontId="59" fillId="8" borderId="44" xfId="0" applyNumberFormat="1" applyFont="1" applyFill="1" applyBorder="1" applyAlignment="1">
      <alignment horizontal="center"/>
    </xf>
    <xf numFmtId="168" fontId="19" fillId="8" borderId="47" xfId="0" applyNumberFormat="1" applyFont="1" applyFill="1" applyBorder="1" applyAlignment="1">
      <alignment horizontal="center"/>
    </xf>
    <xf numFmtId="0" fontId="19" fillId="0" borderId="15" xfId="0" applyFont="1" applyBorder="1" applyAlignment="1">
      <alignment horizontal="left"/>
    </xf>
    <xf numFmtId="0" fontId="56" fillId="2" borderId="15" xfId="0" applyFont="1" applyFill="1" applyBorder="1" applyAlignment="1">
      <alignment horizontal="left" vertical="center"/>
    </xf>
    <xf numFmtId="3" fontId="44" fillId="0" borderId="32" xfId="0" applyNumberFormat="1" applyFont="1" applyBorder="1" applyAlignment="1">
      <alignment horizontal="center"/>
    </xf>
    <xf numFmtId="0" fontId="56" fillId="2" borderId="5" xfId="0" applyFont="1" applyFill="1" applyBorder="1" applyAlignment="1">
      <alignment horizontal="left"/>
    </xf>
    <xf numFmtId="0" fontId="56" fillId="0" borderId="32" xfId="0" applyFont="1" applyBorder="1" applyAlignment="1">
      <alignment horizontal="left"/>
    </xf>
    <xf numFmtId="0" fontId="19" fillId="0" borderId="5" xfId="0" applyFont="1" applyBorder="1" applyAlignment="1">
      <alignment horizontal="left"/>
    </xf>
    <xf numFmtId="0" fontId="56" fillId="2" borderId="13" xfId="0" applyFont="1" applyFill="1" applyBorder="1" applyAlignment="1">
      <alignment horizontal="left"/>
    </xf>
    <xf numFmtId="0" fontId="19" fillId="0" borderId="33" xfId="0" applyFont="1" applyBorder="1" applyAlignment="1">
      <alignment vertical="top" wrapText="1"/>
    </xf>
    <xf numFmtId="0" fontId="56" fillId="2" borderId="2" xfId="0" applyFont="1" applyFill="1" applyBorder="1" applyAlignment="1">
      <alignment horizontal="left"/>
    </xf>
    <xf numFmtId="0" fontId="56" fillId="2" borderId="1" xfId="0" applyFont="1" applyFill="1" applyBorder="1" applyAlignment="1">
      <alignment horizontal="left"/>
    </xf>
    <xf numFmtId="0" fontId="19" fillId="0" borderId="15" xfId="0" applyFont="1" applyBorder="1" applyAlignment="1">
      <alignment vertical="top" wrapText="1"/>
    </xf>
    <xf numFmtId="0" fontId="19" fillId="0" borderId="5" xfId="0" applyFont="1" applyBorder="1" applyAlignment="1">
      <alignment vertical="top"/>
    </xf>
    <xf numFmtId="0" fontId="44" fillId="0" borderId="5" xfId="0" applyFont="1" applyBorder="1" applyAlignment="1">
      <alignment wrapText="1"/>
    </xf>
    <xf numFmtId="0" fontId="44" fillId="0" borderId="33" xfId="0" applyFont="1" applyBorder="1" applyAlignment="1">
      <alignment horizontal="left"/>
    </xf>
    <xf numFmtId="168" fontId="59" fillId="8" borderId="46" xfId="0" applyNumberFormat="1" applyFont="1" applyFill="1" applyBorder="1" applyAlignment="1">
      <alignment horizontal="center"/>
    </xf>
    <xf numFmtId="0" fontId="44" fillId="0" borderId="32" xfId="0" applyFont="1" applyBorder="1" applyAlignment="1">
      <alignment vertical="top" wrapText="1"/>
    </xf>
    <xf numFmtId="0" fontId="19" fillId="0" borderId="1" xfId="0" applyFont="1" applyBorder="1" applyAlignment="1">
      <alignment horizontal="left" vertical="top"/>
    </xf>
    <xf numFmtId="0" fontId="44" fillId="0" borderId="1" xfId="0" applyFont="1" applyBorder="1" applyAlignment="1">
      <alignment wrapText="1"/>
    </xf>
    <xf numFmtId="0" fontId="56" fillId="2" borderId="5" xfId="0" applyFont="1" applyFill="1" applyBorder="1" applyAlignment="1">
      <alignment horizontal="left" vertical="top"/>
    </xf>
    <xf numFmtId="0" fontId="56" fillId="2" borderId="13" xfId="0" applyFont="1" applyFill="1" applyBorder="1" applyAlignment="1">
      <alignment horizontal="left" vertical="top"/>
    </xf>
    <xf numFmtId="0" fontId="19" fillId="0" borderId="13" xfId="0" applyFont="1" applyBorder="1" applyAlignment="1">
      <alignment horizontal="left" vertical="top"/>
    </xf>
    <xf numFmtId="0" fontId="44" fillId="0" borderId="13" xfId="0" applyFont="1" applyBorder="1" applyAlignment="1">
      <alignment wrapText="1"/>
    </xf>
    <xf numFmtId="0" fontId="19" fillId="0" borderId="1" xfId="0" applyFont="1" applyBorder="1" applyAlignment="1">
      <alignment horizontal="left" vertical="top"/>
    </xf>
    <xf numFmtId="0" fontId="56" fillId="2" borderId="15" xfId="0" applyFont="1" applyFill="1" applyBorder="1" applyAlignment="1">
      <alignment horizontal="left"/>
    </xf>
    <xf numFmtId="0" fontId="62" fillId="0" borderId="2" xfId="0" applyFont="1" applyBorder="1" applyAlignment="1"/>
    <xf numFmtId="0" fontId="19" fillId="0" borderId="5" xfId="0" applyFont="1" applyBorder="1" applyAlignment="1"/>
    <xf numFmtId="0" fontId="19" fillId="0" borderId="13" xfId="0" applyFont="1" applyBorder="1" applyAlignment="1">
      <alignment horizontal="left"/>
    </xf>
    <xf numFmtId="0" fontId="44" fillId="0" borderId="33" xfId="0" applyFont="1" applyBorder="1" applyAlignment="1">
      <alignment vertical="top" wrapText="1"/>
    </xf>
    <xf numFmtId="0" fontId="44" fillId="0" borderId="12" xfId="0" applyFont="1" applyBorder="1" applyAlignment="1">
      <alignment horizontal="left"/>
    </xf>
    <xf numFmtId="0" fontId="56" fillId="2" borderId="19" xfId="0" applyFont="1" applyFill="1" applyBorder="1" applyAlignment="1">
      <alignment horizontal="left"/>
    </xf>
    <xf numFmtId="0" fontId="19" fillId="0" borderId="5" xfId="0" applyFont="1" applyBorder="1" applyAlignment="1">
      <alignment horizontal="left" vertical="top"/>
    </xf>
    <xf numFmtId="3" fontId="44" fillId="0" borderId="33" xfId="0" applyNumberFormat="1" applyFont="1" applyBorder="1" applyAlignment="1">
      <alignment horizontal="center"/>
    </xf>
    <xf numFmtId="44" fontId="19" fillId="4" borderId="52" xfId="0" applyNumberFormat="1" applyFont="1" applyFill="1" applyBorder="1" applyAlignment="1">
      <alignment horizontal="center"/>
    </xf>
    <xf numFmtId="168" fontId="19" fillId="8" borderId="3" xfId="0" applyNumberFormat="1" applyFont="1" applyFill="1" applyBorder="1" applyAlignment="1">
      <alignment horizontal="center"/>
    </xf>
    <xf numFmtId="166" fontId="19" fillId="8" borderId="17" xfId="0" applyNumberFormat="1" applyFont="1" applyFill="1" applyBorder="1"/>
    <xf numFmtId="0" fontId="59" fillId="0" borderId="5" xfId="0" applyFont="1" applyBorder="1" applyAlignment="1">
      <alignment horizontal="left" vertical="top"/>
    </xf>
    <xf numFmtId="44" fontId="19" fillId="4" borderId="53" xfId="0" applyNumberFormat="1" applyFont="1" applyFill="1" applyBorder="1" applyAlignment="1">
      <alignment horizontal="center"/>
    </xf>
    <xf numFmtId="168" fontId="59" fillId="8" borderId="17" xfId="0" applyNumberFormat="1" applyFont="1" applyFill="1" applyBorder="1" applyAlignment="1">
      <alignment horizontal="center"/>
    </xf>
    <xf numFmtId="168" fontId="19" fillId="8" borderId="14" xfId="0" applyNumberFormat="1" applyFont="1" applyFill="1" applyBorder="1" applyAlignment="1">
      <alignment horizontal="center"/>
    </xf>
    <xf numFmtId="0" fontId="60" fillId="0" borderId="17" xfId="0" applyFont="1" applyBorder="1" applyAlignment="1">
      <alignment vertical="top" wrapText="1"/>
    </xf>
    <xf numFmtId="0" fontId="56" fillId="2" borderId="0" xfId="0" applyFont="1" applyFill="1" applyAlignment="1">
      <alignment horizontal="left" vertical="top"/>
    </xf>
    <xf numFmtId="0" fontId="19" fillId="0" borderId="17" xfId="0" applyFont="1" applyBorder="1" applyAlignment="1">
      <alignment horizontal="left"/>
    </xf>
    <xf numFmtId="0" fontId="19" fillId="0" borderId="17" xfId="0" applyFont="1" applyBorder="1" applyAlignment="1">
      <alignment horizontal="left"/>
    </xf>
    <xf numFmtId="0" fontId="19" fillId="0" borderId="32" xfId="0" applyFont="1" applyBorder="1" applyAlignment="1">
      <alignment horizontal="left" vertical="top" wrapText="1"/>
    </xf>
    <xf numFmtId="0" fontId="44" fillId="0" borderId="1" xfId="0" applyFont="1" applyBorder="1" applyAlignment="1">
      <alignment vertical="top" wrapText="1"/>
    </xf>
    <xf numFmtId="0" fontId="23" fillId="0" borderId="13" xfId="0" applyFont="1" applyBorder="1" applyAlignment="1">
      <alignment wrapText="1"/>
    </xf>
    <xf numFmtId="168" fontId="59" fillId="8" borderId="15" xfId="0" applyNumberFormat="1" applyFont="1" applyFill="1" applyBorder="1" applyAlignment="1">
      <alignment horizontal="center" vertical="top"/>
    </xf>
    <xf numFmtId="0" fontId="60" fillId="0" borderId="3" xfId="0" applyFont="1" applyBorder="1" applyAlignment="1">
      <alignment vertical="top" wrapText="1"/>
    </xf>
    <xf numFmtId="0" fontId="56" fillId="2" borderId="2" xfId="0" applyFont="1" applyFill="1" applyBorder="1" applyAlignment="1">
      <alignment horizontal="left" vertical="top"/>
    </xf>
    <xf numFmtId="0" fontId="60" fillId="0" borderId="32" xfId="0" applyFont="1" applyBorder="1" applyAlignment="1">
      <alignment vertical="top" wrapText="1"/>
    </xf>
    <xf numFmtId="0" fontId="56" fillId="0" borderId="16" xfId="0" applyFont="1" applyBorder="1" applyAlignment="1">
      <alignment horizontal="right"/>
    </xf>
    <xf numFmtId="3" fontId="44" fillId="0" borderId="15" xfId="0" applyNumberFormat="1" applyFont="1" applyBorder="1" applyAlignment="1">
      <alignment horizontal="center" vertical="top"/>
    </xf>
    <xf numFmtId="168" fontId="19" fillId="8" borderId="46" xfId="0" applyNumberFormat="1" applyFont="1" applyFill="1" applyBorder="1" applyAlignment="1">
      <alignment horizontal="center" vertical="top"/>
    </xf>
    <xf numFmtId="8" fontId="19" fillId="8" borderId="33" xfId="0" applyNumberFormat="1" applyFont="1" applyFill="1" applyBorder="1" applyAlignment="1">
      <alignment vertical="top"/>
    </xf>
    <xf numFmtId="0" fontId="60" fillId="0" borderId="0" xfId="0" applyFont="1" applyAlignment="1">
      <alignment wrapText="1"/>
    </xf>
    <xf numFmtId="0" fontId="56" fillId="0" borderId="33" xfId="0" applyFont="1" applyBorder="1" applyAlignment="1">
      <alignment horizontal="left"/>
    </xf>
    <xf numFmtId="8" fontId="19" fillId="8" borderId="32" xfId="0" applyNumberFormat="1" applyFont="1" applyFill="1" applyBorder="1" applyAlignment="1">
      <alignment vertical="top"/>
    </xf>
    <xf numFmtId="8" fontId="19" fillId="8" borderId="15" xfId="0" applyNumberFormat="1" applyFont="1" applyFill="1" applyBorder="1" applyAlignment="1">
      <alignment vertical="top"/>
    </xf>
    <xf numFmtId="0" fontId="63" fillId="2" borderId="54" xfId="0" applyFont="1" applyFill="1" applyBorder="1" applyAlignment="1">
      <alignment wrapText="1"/>
    </xf>
    <xf numFmtId="0" fontId="56" fillId="0" borderId="32" xfId="0" applyFont="1" applyBorder="1" applyAlignment="1">
      <alignment horizontal="left" vertical="top"/>
    </xf>
    <xf numFmtId="168" fontId="19" fillId="8" borderId="33" xfId="0" applyNumberFormat="1" applyFont="1" applyFill="1" applyBorder="1" applyAlignment="1">
      <alignment horizontal="center" vertical="top"/>
    </xf>
    <xf numFmtId="8" fontId="19" fillId="8" borderId="17" xfId="0" applyNumberFormat="1" applyFont="1" applyFill="1" applyBorder="1" applyAlignment="1">
      <alignment vertical="top"/>
    </xf>
    <xf numFmtId="168" fontId="19" fillId="8" borderId="15" xfId="0" applyNumberFormat="1" applyFont="1" applyFill="1" applyBorder="1" applyAlignment="1">
      <alignment horizontal="center" vertical="top"/>
    </xf>
    <xf numFmtId="0" fontId="19" fillId="0" borderId="2" xfId="0" applyFont="1" applyBorder="1" applyAlignment="1">
      <alignment wrapText="1"/>
    </xf>
    <xf numFmtId="44" fontId="19" fillId="4" borderId="22" xfId="0" applyNumberFormat="1" applyFont="1" applyFill="1" applyBorder="1" applyAlignment="1">
      <alignment horizontal="center"/>
    </xf>
    <xf numFmtId="44" fontId="19" fillId="8" borderId="32" xfId="0" applyNumberFormat="1" applyFont="1" applyFill="1" applyBorder="1"/>
    <xf numFmtId="0" fontId="56" fillId="2" borderId="33" xfId="0" applyFont="1" applyFill="1" applyBorder="1" applyAlignment="1">
      <alignment horizontal="left" vertical="center"/>
    </xf>
    <xf numFmtId="0" fontId="19" fillId="8" borderId="15" xfId="0" applyFont="1" applyFill="1" applyBorder="1"/>
    <xf numFmtId="3" fontId="56" fillId="0" borderId="33" xfId="0" applyNumberFormat="1" applyFont="1" applyBorder="1" applyAlignment="1">
      <alignment horizontal="center"/>
    </xf>
    <xf numFmtId="44" fontId="19" fillId="8" borderId="33" xfId="0" applyNumberFormat="1" applyFont="1" applyFill="1" applyBorder="1"/>
    <xf numFmtId="0" fontId="44" fillId="0" borderId="32" xfId="0" applyFont="1" applyBorder="1" applyAlignment="1">
      <alignment wrapText="1"/>
    </xf>
    <xf numFmtId="0" fontId="56" fillId="0" borderId="15" xfId="0" applyFont="1" applyBorder="1" applyAlignment="1">
      <alignment horizontal="left"/>
    </xf>
    <xf numFmtId="0" fontId="56" fillId="2" borderId="33" xfId="0" applyFont="1" applyFill="1" applyBorder="1" applyAlignment="1">
      <alignment horizontal="left"/>
    </xf>
    <xf numFmtId="0" fontId="44" fillId="0" borderId="15" xfId="0" applyFont="1" applyBorder="1" applyAlignment="1">
      <alignment vertical="top" wrapText="1"/>
    </xf>
    <xf numFmtId="168" fontId="59" fillId="8" borderId="23" xfId="0" applyNumberFormat="1" applyFont="1" applyFill="1" applyBorder="1" applyAlignment="1">
      <alignment horizontal="center"/>
    </xf>
    <xf numFmtId="168" fontId="19" fillId="8" borderId="37" xfId="0" applyNumberFormat="1" applyFont="1" applyFill="1" applyBorder="1" applyAlignment="1">
      <alignment horizontal="center"/>
    </xf>
    <xf numFmtId="0" fontId="56" fillId="2" borderId="32" xfId="0" applyFont="1" applyFill="1" applyBorder="1" applyAlignment="1">
      <alignment horizontal="left" vertical="top"/>
    </xf>
    <xf numFmtId="0" fontId="64" fillId="2" borderId="32" xfId="0" applyFont="1" applyFill="1" applyBorder="1" applyAlignment="1">
      <alignment horizontal="left" vertical="top" wrapText="1"/>
    </xf>
    <xf numFmtId="166" fontId="19" fillId="8" borderId="3" xfId="0" applyNumberFormat="1" applyFont="1" applyFill="1" applyBorder="1"/>
    <xf numFmtId="0" fontId="19" fillId="0" borderId="33" xfId="0" applyFont="1" applyBorder="1"/>
    <xf numFmtId="0" fontId="56" fillId="2" borderId="57" xfId="0" applyFont="1" applyFill="1" applyBorder="1" applyAlignment="1">
      <alignment horizontal="left"/>
    </xf>
    <xf numFmtId="0" fontId="64" fillId="2" borderId="57" xfId="0" applyFont="1" applyFill="1" applyBorder="1" applyAlignment="1">
      <alignment horizontal="left" vertical="top" wrapText="1"/>
    </xf>
    <xf numFmtId="0" fontId="44" fillId="0" borderId="57" xfId="0" applyFont="1" applyBorder="1" applyAlignment="1">
      <alignment wrapText="1"/>
    </xf>
    <xf numFmtId="3" fontId="44" fillId="0" borderId="57" xfId="0" applyNumberFormat="1" applyFont="1" applyBorder="1" applyAlignment="1">
      <alignment horizontal="center"/>
    </xf>
    <xf numFmtId="44" fontId="19" fillId="4" borderId="57" xfId="0" applyNumberFormat="1" applyFont="1" applyFill="1" applyBorder="1" applyAlignment="1">
      <alignment horizontal="center"/>
    </xf>
    <xf numFmtId="166" fontId="19" fillId="8" borderId="59" xfId="0" applyNumberFormat="1" applyFont="1" applyFill="1" applyBorder="1"/>
    <xf numFmtId="8" fontId="19" fillId="8" borderId="59" xfId="0" applyNumberFormat="1" applyFont="1" applyFill="1" applyBorder="1"/>
    <xf numFmtId="0" fontId="56" fillId="2" borderId="60" xfId="0" applyFont="1" applyFill="1" applyBorder="1" applyAlignment="1">
      <alignment horizontal="left"/>
    </xf>
    <xf numFmtId="0" fontId="64" fillId="2" borderId="60" xfId="0" applyFont="1" applyFill="1" applyBorder="1" applyAlignment="1">
      <alignment horizontal="left" vertical="top" wrapText="1"/>
    </xf>
    <xf numFmtId="0" fontId="44" fillId="0" borderId="60" xfId="0" applyFont="1" applyBorder="1" applyAlignment="1">
      <alignment wrapText="1"/>
    </xf>
    <xf numFmtId="3" fontId="44" fillId="0" borderId="60" xfId="0" applyNumberFormat="1" applyFont="1" applyBorder="1" applyAlignment="1">
      <alignment horizontal="center"/>
    </xf>
    <xf numFmtId="44" fontId="19" fillId="4" borderId="60" xfId="0" applyNumberFormat="1" applyFont="1" applyFill="1" applyBorder="1" applyAlignment="1">
      <alignment horizontal="center"/>
    </xf>
    <xf numFmtId="8" fontId="19" fillId="8" borderId="62" xfId="0" applyNumberFormat="1" applyFont="1" applyFill="1" applyBorder="1"/>
    <xf numFmtId="0" fontId="23" fillId="2" borderId="15" xfId="0" applyFont="1" applyFill="1" applyBorder="1" applyAlignment="1">
      <alignment horizontal="left" wrapText="1"/>
    </xf>
    <xf numFmtId="0" fontId="19" fillId="2" borderId="15" xfId="0" applyFont="1" applyFill="1" applyBorder="1" applyAlignment="1">
      <alignment vertical="top"/>
    </xf>
    <xf numFmtId="0" fontId="56" fillId="2" borderId="21" xfId="0" applyFont="1" applyFill="1" applyBorder="1" applyAlignment="1">
      <alignment horizontal="left"/>
    </xf>
    <xf numFmtId="0" fontId="56" fillId="2" borderId="33" xfId="0" applyFont="1" applyFill="1" applyBorder="1" applyAlignment="1">
      <alignment horizontal="left" vertical="top" wrapText="1"/>
    </xf>
    <xf numFmtId="0" fontId="60" fillId="2" borderId="37" xfId="0" applyFont="1" applyFill="1" applyBorder="1" applyAlignment="1">
      <alignment horizontal="left" wrapText="1"/>
    </xf>
    <xf numFmtId="0" fontId="56" fillId="2" borderId="32" xfId="0" applyFont="1" applyFill="1" applyBorder="1" applyAlignment="1">
      <alignment horizontal="left"/>
    </xf>
    <xf numFmtId="0" fontId="60" fillId="2" borderId="32" xfId="0" applyFont="1" applyFill="1" applyBorder="1" applyAlignment="1">
      <alignment horizontal="left"/>
    </xf>
    <xf numFmtId="0" fontId="44" fillId="0" borderId="33" xfId="0" applyFont="1" applyBorder="1" applyAlignment="1">
      <alignment horizontal="center"/>
    </xf>
    <xf numFmtId="0" fontId="19" fillId="0" borderId="32" xfId="0" applyFont="1" applyBorder="1" applyAlignment="1">
      <alignment wrapText="1"/>
    </xf>
    <xf numFmtId="168" fontId="19" fillId="8" borderId="36" xfId="0" applyNumberFormat="1" applyFont="1" applyFill="1" applyBorder="1" applyAlignment="1">
      <alignment horizontal="center"/>
    </xf>
    <xf numFmtId="0" fontId="44" fillId="0" borderId="15" xfId="0" applyFont="1" applyBorder="1" applyAlignment="1">
      <alignment horizontal="center"/>
    </xf>
    <xf numFmtId="0" fontId="19" fillId="4" borderId="21" xfId="0" applyFont="1" applyFill="1" applyBorder="1" applyAlignment="1">
      <alignment horizontal="center"/>
    </xf>
    <xf numFmtId="0" fontId="44" fillId="0" borderId="32" xfId="0" applyFont="1" applyBorder="1" applyAlignment="1"/>
    <xf numFmtId="0" fontId="44" fillId="0" borderId="13" xfId="0" applyFont="1" applyBorder="1" applyAlignment="1">
      <alignment vertical="top" wrapText="1"/>
    </xf>
    <xf numFmtId="0" fontId="44" fillId="0" borderId="15" xfId="0" applyFont="1" applyBorder="1"/>
    <xf numFmtId="0" fontId="56" fillId="2" borderId="15" xfId="0" applyFont="1" applyFill="1" applyBorder="1" applyAlignment="1">
      <alignment horizontal="left" vertical="top" wrapText="1"/>
    </xf>
    <xf numFmtId="166" fontId="59" fillId="8" borderId="15" xfId="0" applyNumberFormat="1" applyFont="1" applyFill="1" applyBorder="1" applyAlignment="1">
      <alignment horizontal="center"/>
    </xf>
    <xf numFmtId="0" fontId="44" fillId="8" borderId="63" xfId="0" applyFont="1" applyFill="1" applyBorder="1" applyAlignment="1">
      <alignment horizontal="center" wrapText="1"/>
    </xf>
    <xf numFmtId="3" fontId="44" fillId="4" borderId="36" xfId="0" applyNumberFormat="1" applyFont="1" applyFill="1" applyBorder="1" applyAlignment="1">
      <alignment horizontal="center" wrapText="1"/>
    </xf>
    <xf numFmtId="4" fontId="44" fillId="2" borderId="36" xfId="0" applyNumberFormat="1" applyFont="1" applyFill="1" applyBorder="1" applyAlignment="1">
      <alignment horizontal="center" wrapText="1"/>
    </xf>
    <xf numFmtId="168" fontId="44" fillId="2" borderId="36" xfId="0" applyNumberFormat="1" applyFont="1" applyFill="1" applyBorder="1" applyAlignment="1">
      <alignment horizontal="center" wrapText="1"/>
    </xf>
    <xf numFmtId="0" fontId="19" fillId="0" borderId="1" xfId="0" applyFont="1" applyBorder="1"/>
    <xf numFmtId="0" fontId="44" fillId="0" borderId="13" xfId="0" applyFont="1" applyBorder="1" applyAlignment="1">
      <alignment horizontal="left"/>
    </xf>
    <xf numFmtId="0" fontId="56" fillId="2" borderId="33" xfId="0" applyFont="1" applyFill="1" applyBorder="1" applyAlignment="1">
      <alignment horizontal="left" vertical="top" wrapText="1"/>
    </xf>
    <xf numFmtId="8" fontId="60" fillId="8" borderId="15" xfId="0" applyNumberFormat="1" applyFont="1" applyFill="1" applyBorder="1" applyAlignment="1"/>
    <xf numFmtId="0" fontId="44" fillId="0" borderId="13" xfId="0" applyFont="1" applyBorder="1" applyAlignment="1"/>
    <xf numFmtId="0" fontId="56" fillId="2" borderId="5" xfId="0" applyFont="1" applyFill="1" applyBorder="1" applyAlignment="1">
      <alignment horizontal="left" vertical="top"/>
    </xf>
    <xf numFmtId="0" fontId="19" fillId="0" borderId="32" xfId="0" applyFont="1" applyBorder="1" applyAlignment="1"/>
    <xf numFmtId="0" fontId="19" fillId="0" borderId="32" xfId="0" applyFont="1" applyBorder="1" applyAlignment="1">
      <alignment horizontal="left"/>
    </xf>
    <xf numFmtId="0" fontId="44" fillId="0" borderId="32" xfId="0" applyFont="1" applyBorder="1" applyAlignment="1"/>
    <xf numFmtId="3" fontId="44" fillId="0" borderId="32" xfId="0" applyNumberFormat="1" applyFont="1" applyBorder="1" applyAlignment="1">
      <alignment horizontal="center"/>
    </xf>
    <xf numFmtId="44" fontId="44" fillId="3" borderId="32" xfId="0" applyNumberFormat="1" applyFont="1" applyFill="1" applyBorder="1" applyAlignment="1">
      <alignment horizontal="center"/>
    </xf>
    <xf numFmtId="168" fontId="19" fillId="8" borderId="3" xfId="0" applyNumberFormat="1" applyFont="1" applyFill="1" applyBorder="1" applyAlignment="1">
      <alignment horizontal="right"/>
    </xf>
    <xf numFmtId="0" fontId="44" fillId="0" borderId="15" xfId="0" applyFont="1" applyBorder="1" applyAlignment="1">
      <alignment horizontal="left"/>
    </xf>
    <xf numFmtId="0" fontId="56" fillId="2" borderId="13" xfId="0" applyFont="1" applyFill="1" applyBorder="1" applyAlignment="1">
      <alignment horizontal="left" vertical="top"/>
    </xf>
    <xf numFmtId="0" fontId="59" fillId="0" borderId="15" xfId="0" applyFont="1" applyBorder="1" applyAlignment="1">
      <alignment horizontal="left"/>
    </xf>
    <xf numFmtId="0" fontId="44" fillId="0" borderId="15" xfId="0" applyFont="1" applyBorder="1" applyAlignment="1"/>
    <xf numFmtId="3" fontId="44" fillId="0" borderId="15" xfId="0" applyNumberFormat="1" applyFont="1" applyBorder="1" applyAlignment="1">
      <alignment horizontal="center"/>
    </xf>
    <xf numFmtId="44" fontId="44" fillId="3" borderId="15" xfId="0" applyNumberFormat="1" applyFont="1" applyFill="1" applyBorder="1" applyAlignment="1">
      <alignment horizontal="center"/>
    </xf>
    <xf numFmtId="168" fontId="19" fillId="8" borderId="14" xfId="0" applyNumberFormat="1" applyFont="1" applyFill="1" applyBorder="1" applyAlignment="1"/>
    <xf numFmtId="0" fontId="19" fillId="0" borderId="33" xfId="0" applyFont="1" applyBorder="1" applyAlignment="1"/>
    <xf numFmtId="0" fontId="19" fillId="0" borderId="33" xfId="0" applyFont="1" applyBorder="1" applyAlignment="1">
      <alignment horizontal="left"/>
    </xf>
    <xf numFmtId="0" fontId="44" fillId="0" borderId="33" xfId="0" applyFont="1" applyBorder="1" applyAlignment="1"/>
    <xf numFmtId="3" fontId="44" fillId="0" borderId="33" xfId="0" applyNumberFormat="1" applyFont="1" applyBorder="1" applyAlignment="1">
      <alignment horizontal="center"/>
    </xf>
    <xf numFmtId="44" fontId="44" fillId="3" borderId="33" xfId="0" applyNumberFormat="1" applyFont="1" applyFill="1" applyBorder="1" applyAlignment="1">
      <alignment horizontal="center"/>
    </xf>
    <xf numFmtId="168" fontId="19" fillId="8" borderId="17" xfId="0" applyNumberFormat="1" applyFont="1" applyFill="1" applyBorder="1" applyAlignment="1">
      <alignment horizontal="right"/>
    </xf>
    <xf numFmtId="0" fontId="56" fillId="2" borderId="15" xfId="0" applyFont="1" applyFill="1" applyBorder="1" applyAlignment="1">
      <alignment horizontal="left" vertical="top"/>
    </xf>
    <xf numFmtId="0" fontId="19" fillId="0" borderId="12" xfId="0" applyFont="1" applyBorder="1" applyAlignment="1">
      <alignment horizontal="left"/>
    </xf>
    <xf numFmtId="0" fontId="56" fillId="0" borderId="19" xfId="0" applyFont="1" applyBorder="1" applyAlignment="1">
      <alignment horizontal="left"/>
    </xf>
    <xf numFmtId="0" fontId="19" fillId="0" borderId="12" xfId="0" applyFont="1" applyBorder="1" applyAlignment="1">
      <alignment horizontal="left" vertical="top"/>
    </xf>
    <xf numFmtId="0" fontId="44" fillId="0" borderId="3" xfId="0" applyFont="1" applyBorder="1" applyAlignment="1">
      <alignment wrapText="1"/>
    </xf>
    <xf numFmtId="0" fontId="19" fillId="0" borderId="33" xfId="0" applyFont="1" applyBorder="1" applyAlignment="1">
      <alignment vertical="center"/>
    </xf>
    <xf numFmtId="0" fontId="44" fillId="0" borderId="17" xfId="0" applyFont="1" applyBorder="1" applyAlignment="1">
      <alignment wrapText="1"/>
    </xf>
    <xf numFmtId="0" fontId="56" fillId="2" borderId="5" xfId="0" applyFont="1" applyFill="1" applyBorder="1" applyAlignment="1">
      <alignment horizontal="left" vertical="top" wrapText="1"/>
    </xf>
    <xf numFmtId="0" fontId="19" fillId="0" borderId="1" xfId="0" applyFont="1" applyBorder="1" applyAlignment="1">
      <alignment vertical="top"/>
    </xf>
    <xf numFmtId="0" fontId="60" fillId="0" borderId="32" xfId="0" applyFont="1" applyBorder="1" applyAlignment="1">
      <alignment wrapText="1"/>
    </xf>
    <xf numFmtId="0" fontId="60" fillId="0" borderId="15" xfId="0" applyFont="1" applyBorder="1" applyAlignment="1">
      <alignment wrapText="1"/>
    </xf>
    <xf numFmtId="0" fontId="56" fillId="0" borderId="16" xfId="0" applyFont="1" applyBorder="1" applyAlignment="1">
      <alignment horizontal="left"/>
    </xf>
    <xf numFmtId="0" fontId="44" fillId="2" borderId="33" xfId="0" applyFont="1" applyFill="1" applyBorder="1" applyAlignment="1">
      <alignment vertical="top" wrapText="1"/>
    </xf>
    <xf numFmtId="0" fontId="19" fillId="8" borderId="17" xfId="0" applyFont="1" applyFill="1" applyBorder="1"/>
    <xf numFmtId="0" fontId="23" fillId="0" borderId="33" xfId="0" applyFont="1" applyBorder="1" applyAlignment="1">
      <alignment horizontal="left"/>
    </xf>
    <xf numFmtId="0" fontId="19" fillId="0" borderId="33" xfId="0" applyFont="1" applyBorder="1" applyAlignment="1">
      <alignment horizontal="right"/>
    </xf>
    <xf numFmtId="0" fontId="56" fillId="0" borderId="2" xfId="0" applyFont="1" applyBorder="1" applyAlignment="1">
      <alignment horizontal="left"/>
    </xf>
    <xf numFmtId="0" fontId="19" fillId="0" borderId="33" xfId="0" applyFont="1" applyBorder="1" applyAlignment="1">
      <alignment horizontal="right"/>
    </xf>
    <xf numFmtId="0" fontId="19" fillId="0" borderId="0" xfId="0" applyFont="1" applyAlignment="1">
      <alignment vertical="top"/>
    </xf>
    <xf numFmtId="0" fontId="44" fillId="0" borderId="32" xfId="0" applyFont="1" applyBorder="1" applyAlignment="1">
      <alignment horizontal="right"/>
    </xf>
    <xf numFmtId="8" fontId="19" fillId="8" borderId="45" xfId="0" applyNumberFormat="1" applyFont="1" applyFill="1" applyBorder="1"/>
    <xf numFmtId="0" fontId="66" fillId="0" borderId="0" xfId="0" applyFont="1" applyAlignment="1">
      <alignment horizontal="left" vertical="top"/>
    </xf>
    <xf numFmtId="0" fontId="44" fillId="8" borderId="37" xfId="0" applyFont="1" applyFill="1" applyBorder="1" applyAlignment="1">
      <alignment horizontal="center"/>
    </xf>
    <xf numFmtId="8" fontId="19" fillId="8" borderId="46" xfId="0" applyNumberFormat="1" applyFont="1" applyFill="1" applyBorder="1"/>
    <xf numFmtId="0" fontId="44" fillId="0" borderId="33" xfId="0" applyFont="1" applyBorder="1" applyAlignment="1">
      <alignment wrapText="1"/>
    </xf>
    <xf numFmtId="0" fontId="44" fillId="0" borderId="33" xfId="0" applyFont="1" applyBorder="1" applyAlignment="1">
      <alignment horizontal="center"/>
    </xf>
    <xf numFmtId="0" fontId="44" fillId="0" borderId="15" xfId="0" applyFont="1" applyBorder="1" applyAlignment="1">
      <alignment horizontal="right" wrapText="1"/>
    </xf>
    <xf numFmtId="0" fontId="44" fillId="0" borderId="15" xfId="0" applyFont="1" applyBorder="1" applyAlignment="1">
      <alignment horizontal="center"/>
    </xf>
    <xf numFmtId="44" fontId="19" fillId="8" borderId="15" xfId="0" applyNumberFormat="1" applyFont="1" applyFill="1" applyBorder="1"/>
    <xf numFmtId="0" fontId="44" fillId="0" borderId="32" xfId="0" applyFont="1" applyBorder="1" applyAlignment="1">
      <alignment horizontal="center"/>
    </xf>
    <xf numFmtId="0" fontId="19" fillId="0" borderId="12" xfId="0" applyFont="1" applyBorder="1" applyAlignment="1">
      <alignment horizontal="left"/>
    </xf>
    <xf numFmtId="0" fontId="56" fillId="0" borderId="5" xfId="0" applyFont="1" applyBorder="1" applyAlignment="1">
      <alignment horizontal="left" vertical="center"/>
    </xf>
    <xf numFmtId="0" fontId="56" fillId="2" borderId="5" xfId="0" applyFont="1" applyFill="1" applyBorder="1" applyAlignment="1">
      <alignment horizontal="left" vertical="center"/>
    </xf>
    <xf numFmtId="0" fontId="19" fillId="0" borderId="1" xfId="0" applyFont="1" applyBorder="1" applyAlignment="1">
      <alignment horizontal="left"/>
    </xf>
    <xf numFmtId="0" fontId="56" fillId="2" borderId="23" xfId="0" applyFont="1" applyFill="1" applyBorder="1" applyAlignment="1">
      <alignment horizontal="left"/>
    </xf>
    <xf numFmtId="0" fontId="56" fillId="2" borderId="37" xfId="0" applyFont="1" applyFill="1" applyBorder="1" applyAlignment="1">
      <alignment horizontal="left"/>
    </xf>
    <xf numFmtId="0" fontId="56" fillId="2" borderId="22" xfId="0" applyFont="1" applyFill="1" applyBorder="1" applyAlignment="1">
      <alignment horizontal="left"/>
    </xf>
    <xf numFmtId="0" fontId="59" fillId="0" borderId="33" xfId="0" applyFont="1" applyBorder="1" applyAlignment="1">
      <alignment vertical="top"/>
    </xf>
    <xf numFmtId="0" fontId="23" fillId="0" borderId="33" xfId="0" applyFont="1" applyBorder="1" applyAlignment="1">
      <alignment wrapText="1"/>
    </xf>
    <xf numFmtId="0" fontId="44" fillId="0" borderId="12" xfId="0" applyFont="1" applyBorder="1" applyAlignment="1">
      <alignment horizontal="left" vertical="center" wrapText="1"/>
    </xf>
    <xf numFmtId="0" fontId="19" fillId="0" borderId="12" xfId="0" applyFont="1" applyBorder="1" applyAlignment="1">
      <alignment horizontal="left" vertical="center"/>
    </xf>
    <xf numFmtId="3" fontId="44" fillId="0" borderId="12" xfId="0" applyNumberFormat="1" applyFont="1" applyBorder="1" applyAlignment="1">
      <alignment horizontal="center" vertical="center"/>
    </xf>
    <xf numFmtId="168" fontId="19" fillId="8" borderId="12" xfId="0" applyNumberFormat="1" applyFont="1" applyFill="1" applyBorder="1" applyAlignment="1">
      <alignment horizontal="center" vertical="center"/>
    </xf>
    <xf numFmtId="8" fontId="19" fillId="8" borderId="12" xfId="0" applyNumberFormat="1" applyFont="1" applyFill="1" applyBorder="1" applyAlignment="1">
      <alignment horizontal="right" vertical="center"/>
    </xf>
    <xf numFmtId="0" fontId="19" fillId="0" borderId="32" xfId="0" applyFont="1" applyBorder="1" applyAlignment="1">
      <alignment horizontal="left" vertical="center"/>
    </xf>
    <xf numFmtId="3" fontId="44" fillId="0" borderId="10" xfId="0" applyNumberFormat="1" applyFont="1" applyBorder="1" applyAlignment="1">
      <alignment horizontal="center"/>
    </xf>
    <xf numFmtId="0" fontId="44" fillId="0" borderId="32" xfId="0" applyFont="1" applyBorder="1" applyAlignment="1">
      <alignment horizontal="left"/>
    </xf>
    <xf numFmtId="0" fontId="19" fillId="0" borderId="33" xfId="0" applyFont="1" applyBorder="1" applyAlignment="1"/>
    <xf numFmtId="0" fontId="44" fillId="0" borderId="33" xfId="0" applyFont="1" applyBorder="1"/>
    <xf numFmtId="0" fontId="44" fillId="0" borderId="5" xfId="0" applyFont="1" applyBorder="1" applyAlignment="1">
      <alignment vertical="top" wrapText="1"/>
    </xf>
    <xf numFmtId="0" fontId="19" fillId="2" borderId="32" xfId="0" applyFont="1" applyFill="1" applyBorder="1" applyAlignment="1"/>
    <xf numFmtId="0" fontId="19" fillId="2" borderId="32" xfId="0" applyFont="1" applyFill="1" applyBorder="1" applyAlignment="1">
      <alignment vertical="top"/>
    </xf>
    <xf numFmtId="0" fontId="19" fillId="2" borderId="33" xfId="0" applyFont="1" applyFill="1" applyBorder="1" applyAlignment="1"/>
    <xf numFmtId="0" fontId="19" fillId="2" borderId="33" xfId="0" applyFont="1" applyFill="1" applyBorder="1" applyAlignment="1">
      <alignment vertical="top"/>
    </xf>
    <xf numFmtId="0" fontId="56" fillId="2" borderId="33" xfId="0" applyFont="1" applyFill="1" applyBorder="1" applyAlignment="1">
      <alignment horizontal="left"/>
    </xf>
    <xf numFmtId="0" fontId="19" fillId="2" borderId="15" xfId="0" applyFont="1" applyFill="1" applyBorder="1" applyAlignment="1"/>
    <xf numFmtId="0" fontId="56" fillId="2" borderId="15" xfId="0" applyFont="1" applyFill="1" applyBorder="1" applyAlignment="1">
      <alignment horizontal="left"/>
    </xf>
    <xf numFmtId="0" fontId="44" fillId="0" borderId="5" xfId="0" applyFont="1" applyBorder="1" applyAlignment="1">
      <alignment vertical="top" wrapText="1"/>
    </xf>
    <xf numFmtId="0" fontId="19" fillId="0" borderId="32" xfId="0" applyFont="1" applyBorder="1" applyAlignment="1">
      <alignment vertical="center"/>
    </xf>
    <xf numFmtId="0" fontId="19" fillId="0" borderId="32" xfId="0" quotePrefix="1" applyFont="1" applyBorder="1" applyAlignment="1">
      <alignment vertical="top"/>
    </xf>
    <xf numFmtId="0" fontId="56" fillId="2" borderId="12" xfId="0" applyFont="1" applyFill="1" applyBorder="1" applyAlignment="1">
      <alignment horizontal="left"/>
    </xf>
    <xf numFmtId="0" fontId="19" fillId="0" borderId="12" xfId="0" quotePrefix="1" applyFont="1" applyBorder="1" applyAlignment="1">
      <alignment vertical="top"/>
    </xf>
    <xf numFmtId="0" fontId="44" fillId="0" borderId="12" xfId="0" applyFont="1" applyBorder="1" applyAlignment="1">
      <alignment vertical="top" wrapText="1"/>
    </xf>
    <xf numFmtId="0" fontId="56" fillId="2" borderId="12" xfId="0" applyFont="1" applyFill="1" applyBorder="1" applyAlignment="1">
      <alignment horizontal="left" vertical="top"/>
    </xf>
    <xf numFmtId="3" fontId="44" fillId="0" borderId="12" xfId="0" applyNumberFormat="1" applyFont="1" applyBorder="1" applyAlignment="1">
      <alignment horizontal="center"/>
    </xf>
    <xf numFmtId="0" fontId="10" fillId="0" borderId="2" xfId="0" applyFont="1" applyBorder="1" applyAlignment="1">
      <alignment horizontal="right" vertical="center"/>
    </xf>
    <xf numFmtId="0" fontId="44" fillId="0" borderId="9" xfId="0" applyFont="1" applyBorder="1" applyAlignment="1">
      <alignment horizontal="center" wrapText="1"/>
    </xf>
    <xf numFmtId="0" fontId="56" fillId="2" borderId="9" xfId="0" applyFont="1" applyFill="1" applyBorder="1" applyAlignment="1">
      <alignment horizontal="left" wrapText="1"/>
    </xf>
    <xf numFmtId="0" fontId="44" fillId="8" borderId="9" xfId="0" applyFont="1" applyFill="1" applyBorder="1" applyAlignment="1">
      <alignment horizontal="center" wrapText="1"/>
    </xf>
    <xf numFmtId="165" fontId="44" fillId="8" borderId="9" xfId="0" applyNumberFormat="1" applyFont="1" applyFill="1" applyBorder="1" applyAlignment="1">
      <alignment horizontal="center" wrapText="1"/>
    </xf>
    <xf numFmtId="3" fontId="44" fillId="0" borderId="9" xfId="0" applyNumberFormat="1" applyFont="1" applyBorder="1" applyAlignment="1">
      <alignment horizontal="center" wrapText="1"/>
    </xf>
    <xf numFmtId="3" fontId="44" fillId="4" borderId="9" xfId="0" applyNumberFormat="1" applyFont="1" applyFill="1" applyBorder="1" applyAlignment="1">
      <alignment horizontal="center" wrapText="1"/>
    </xf>
    <xf numFmtId="4" fontId="44" fillId="2" borderId="9" xfId="0" applyNumberFormat="1" applyFont="1" applyFill="1" applyBorder="1" applyAlignment="1">
      <alignment horizontal="center" wrapText="1"/>
    </xf>
    <xf numFmtId="168" fontId="44" fillId="2" borderId="9" xfId="0" applyNumberFormat="1" applyFont="1" applyFill="1" applyBorder="1" applyAlignment="1">
      <alignment horizontal="center" wrapText="1"/>
    </xf>
    <xf numFmtId="0" fontId="19" fillId="8" borderId="21" xfId="0" applyFont="1" applyFill="1" applyBorder="1"/>
    <xf numFmtId="0" fontId="19" fillId="0" borderId="13" xfId="0" applyFont="1" applyBorder="1"/>
    <xf numFmtId="0" fontId="19" fillId="8" borderId="22" xfId="0" applyFont="1" applyFill="1" applyBorder="1"/>
    <xf numFmtId="0" fontId="19" fillId="0" borderId="5" xfId="0" applyFont="1" applyBorder="1"/>
    <xf numFmtId="0" fontId="23" fillId="2" borderId="33" xfId="0" applyFont="1" applyFill="1" applyBorder="1" applyAlignment="1">
      <alignment horizontal="left" wrapText="1"/>
    </xf>
    <xf numFmtId="0" fontId="44" fillId="0" borderId="13" xfId="0" applyFont="1" applyBorder="1" applyAlignment="1">
      <alignment horizontal="right"/>
    </xf>
    <xf numFmtId="0" fontId="56" fillId="2" borderId="15" xfId="0" applyFont="1" applyFill="1" applyBorder="1" applyAlignment="1">
      <alignment horizontal="left" wrapText="1"/>
    </xf>
    <xf numFmtId="0" fontId="44" fillId="2" borderId="36" xfId="0" applyFont="1" applyFill="1" applyBorder="1" applyAlignment="1">
      <alignment horizontal="left"/>
    </xf>
    <xf numFmtId="0" fontId="44" fillId="2" borderId="22" xfId="0" applyFont="1" applyFill="1" applyBorder="1" applyAlignment="1">
      <alignment horizontal="left" wrapText="1"/>
    </xf>
    <xf numFmtId="0" fontId="56" fillId="2" borderId="21" xfId="0" applyFont="1" applyFill="1" applyBorder="1" applyAlignment="1">
      <alignment horizontal="left" wrapText="1"/>
    </xf>
    <xf numFmtId="0" fontId="56" fillId="2" borderId="23" xfId="0" applyFont="1" applyFill="1" applyBorder="1" applyAlignment="1">
      <alignment horizontal="left" wrapText="1"/>
    </xf>
    <xf numFmtId="0" fontId="56" fillId="2" borderId="22" xfId="0" applyFont="1" applyFill="1" applyBorder="1" applyAlignment="1">
      <alignment horizontal="left" wrapText="1"/>
    </xf>
    <xf numFmtId="0" fontId="56" fillId="2" borderId="32" xfId="0" applyFont="1" applyFill="1" applyBorder="1" applyAlignment="1">
      <alignment horizontal="left" wrapText="1"/>
    </xf>
    <xf numFmtId="0" fontId="44" fillId="0" borderId="5" xfId="0" applyFont="1" applyBorder="1" applyAlignment="1">
      <alignment horizontal="right"/>
    </xf>
    <xf numFmtId="0" fontId="44" fillId="0" borderId="32" xfId="0" applyFont="1" applyBorder="1" applyAlignment="1">
      <alignment horizontal="center" vertical="top" wrapText="1"/>
    </xf>
    <xf numFmtId="170" fontId="44" fillId="8" borderId="32" xfId="0" applyNumberFormat="1" applyFont="1" applyFill="1" applyBorder="1" applyAlignment="1">
      <alignment horizontal="center" vertical="top" wrapText="1"/>
    </xf>
    <xf numFmtId="166" fontId="19" fillId="8" borderId="3" xfId="0" applyNumberFormat="1" applyFont="1" applyFill="1" applyBorder="1" applyAlignment="1">
      <alignment vertical="top" wrapText="1"/>
    </xf>
    <xf numFmtId="0" fontId="19" fillId="0" borderId="33" xfId="0" applyFont="1" applyBorder="1" applyAlignment="1">
      <alignment wrapText="1"/>
    </xf>
    <xf numFmtId="170" fontId="19" fillId="8" borderId="33" xfId="0" applyNumberFormat="1" applyFont="1" applyFill="1" applyBorder="1" applyAlignment="1">
      <alignment horizontal="center" vertical="top" wrapText="1"/>
    </xf>
    <xf numFmtId="0" fontId="44" fillId="8" borderId="17" xfId="0" applyFont="1" applyFill="1" applyBorder="1" applyAlignment="1">
      <alignment vertical="top" wrapText="1"/>
    </xf>
    <xf numFmtId="168" fontId="44" fillId="8" borderId="32" xfId="0" applyNumberFormat="1" applyFont="1" applyFill="1" applyBorder="1" applyAlignment="1">
      <alignment horizontal="center"/>
    </xf>
    <xf numFmtId="0" fontId="56" fillId="2" borderId="15" xfId="0" applyFont="1" applyFill="1" applyBorder="1" applyAlignment="1">
      <alignment horizontal="left" vertical="top" wrapText="1"/>
    </xf>
    <xf numFmtId="0" fontId="44" fillId="0" borderId="12" xfId="0" applyFont="1" applyBorder="1" applyAlignment="1">
      <alignment horizontal="left" wrapText="1"/>
    </xf>
    <xf numFmtId="0" fontId="19" fillId="0" borderId="5" xfId="0" applyFont="1" applyBorder="1" applyAlignment="1">
      <alignment horizontal="left"/>
    </xf>
    <xf numFmtId="0" fontId="56" fillId="2" borderId="37" xfId="0" applyFont="1" applyFill="1" applyBorder="1" applyAlignment="1">
      <alignment horizontal="left"/>
    </xf>
    <xf numFmtId="0" fontId="19" fillId="8" borderId="32" xfId="0" applyFont="1" applyFill="1" applyBorder="1"/>
    <xf numFmtId="0" fontId="23" fillId="2" borderId="15" xfId="0" applyFont="1" applyFill="1" applyBorder="1" applyAlignment="1">
      <alignment horizontal="left"/>
    </xf>
    <xf numFmtId="0" fontId="60" fillId="2" borderId="0" xfId="0" applyFont="1" applyFill="1" applyAlignment="1">
      <alignment horizontal="left"/>
    </xf>
    <xf numFmtId="0" fontId="44" fillId="2" borderId="15" xfId="0" applyFont="1" applyFill="1" applyBorder="1" applyAlignment="1">
      <alignment vertical="top" wrapText="1"/>
    </xf>
    <xf numFmtId="0" fontId="44" fillId="2" borderId="15" xfId="0" applyFont="1" applyFill="1" applyBorder="1" applyAlignment="1">
      <alignment horizontal="right"/>
    </xf>
    <xf numFmtId="0" fontId="19" fillId="2" borderId="15" xfId="0" applyFont="1" applyFill="1" applyBorder="1" applyAlignment="1">
      <alignment vertical="top"/>
    </xf>
    <xf numFmtId="0" fontId="44" fillId="2" borderId="15" xfId="0" applyFont="1" applyFill="1" applyBorder="1" applyAlignment="1">
      <alignment wrapText="1"/>
    </xf>
    <xf numFmtId="3" fontId="44" fillId="2" borderId="15" xfId="0" applyNumberFormat="1" applyFont="1" applyFill="1" applyBorder="1" applyAlignment="1">
      <alignment horizontal="center"/>
    </xf>
    <xf numFmtId="0" fontId="44" fillId="2" borderId="33" xfId="0" applyFont="1" applyFill="1" applyBorder="1" applyAlignment="1">
      <alignment vertical="top" wrapText="1"/>
    </xf>
    <xf numFmtId="0" fontId="19" fillId="2" borderId="33" xfId="0" applyFont="1" applyFill="1" applyBorder="1" applyAlignment="1">
      <alignment vertical="top" wrapText="1"/>
    </xf>
    <xf numFmtId="0" fontId="44" fillId="2" borderId="33" xfId="0" applyFont="1" applyFill="1" applyBorder="1" applyAlignment="1">
      <alignment wrapText="1"/>
    </xf>
    <xf numFmtId="3" fontId="44" fillId="2" borderId="33" xfId="0" applyNumberFormat="1" applyFont="1" applyFill="1" applyBorder="1" applyAlignment="1">
      <alignment horizontal="center"/>
    </xf>
    <xf numFmtId="44" fontId="19" fillId="5" borderId="33" xfId="0" applyNumberFormat="1" applyFont="1" applyFill="1" applyBorder="1" applyAlignment="1">
      <alignment horizontal="center"/>
    </xf>
    <xf numFmtId="0" fontId="44" fillId="2" borderId="33" xfId="0" applyFont="1" applyFill="1" applyBorder="1" applyAlignment="1">
      <alignment horizontal="right"/>
    </xf>
    <xf numFmtId="0" fontId="59" fillId="2" borderId="33" xfId="0" applyFont="1" applyFill="1" applyBorder="1" applyAlignment="1"/>
    <xf numFmtId="0" fontId="19" fillId="2" borderId="33" xfId="0" applyFont="1" applyFill="1" applyBorder="1"/>
    <xf numFmtId="0" fontId="19" fillId="2" borderId="15" xfId="0" applyFont="1" applyFill="1" applyBorder="1"/>
    <xf numFmtId="44" fontId="19" fillId="5" borderId="15" xfId="0" applyNumberFormat="1" applyFont="1" applyFill="1" applyBorder="1" applyAlignment="1">
      <alignment horizontal="center"/>
    </xf>
    <xf numFmtId="0" fontId="56" fillId="12" borderId="23" xfId="0" applyFont="1" applyFill="1" applyBorder="1" applyAlignment="1">
      <alignment horizontal="left"/>
    </xf>
    <xf numFmtId="0" fontId="56" fillId="12" borderId="15" xfId="0" applyFont="1" applyFill="1" applyBorder="1" applyAlignment="1">
      <alignment horizontal="left" vertical="top"/>
    </xf>
    <xf numFmtId="0" fontId="44" fillId="2" borderId="32" xfId="0" applyFont="1" applyFill="1" applyBorder="1" applyAlignment="1">
      <alignment vertical="top" wrapText="1"/>
    </xf>
    <xf numFmtId="0" fontId="56" fillId="2" borderId="32" xfId="0" applyFont="1" applyFill="1" applyBorder="1" applyAlignment="1">
      <alignment horizontal="left" wrapText="1"/>
    </xf>
    <xf numFmtId="0" fontId="19" fillId="0" borderId="0" xfId="0" applyFont="1"/>
    <xf numFmtId="3" fontId="56" fillId="0" borderId="12" xfId="0" applyNumberFormat="1" applyFont="1" applyBorder="1" applyAlignment="1">
      <alignment horizontal="center"/>
    </xf>
    <xf numFmtId="0" fontId="60" fillId="0" borderId="32" xfId="0" applyFont="1" applyBorder="1" applyAlignment="1"/>
    <xf numFmtId="0" fontId="19" fillId="0" borderId="60" xfId="0" applyFont="1" applyBorder="1" applyAlignment="1">
      <alignment horizontal="left"/>
    </xf>
    <xf numFmtId="0" fontId="56" fillId="2" borderId="60" xfId="0" applyFont="1" applyFill="1" applyBorder="1" applyAlignment="1">
      <alignment horizontal="left" vertical="top"/>
    </xf>
    <xf numFmtId="0" fontId="19" fillId="0" borderId="60" xfId="0" applyFont="1" applyBorder="1" applyAlignment="1">
      <alignment vertical="top"/>
    </xf>
    <xf numFmtId="168" fontId="19" fillId="8" borderId="68" xfId="0" applyNumberFormat="1" applyFont="1" applyFill="1" applyBorder="1" applyAlignment="1">
      <alignment horizontal="center"/>
    </xf>
    <xf numFmtId="8" fontId="19" fillId="8" borderId="60" xfId="0" applyNumberFormat="1" applyFont="1" applyFill="1" applyBorder="1"/>
    <xf numFmtId="0" fontId="44" fillId="0" borderId="70" xfId="0" applyFont="1" applyBorder="1" applyAlignment="1">
      <alignment horizontal="right"/>
    </xf>
    <xf numFmtId="0" fontId="56" fillId="2" borderId="70" xfId="0" applyFont="1" applyFill="1" applyBorder="1" applyAlignment="1">
      <alignment horizontal="left" vertical="top"/>
    </xf>
    <xf numFmtId="0" fontId="19" fillId="0" borderId="70" xfId="0" applyFont="1" applyBorder="1" applyAlignment="1">
      <alignment vertical="top"/>
    </xf>
    <xf numFmtId="0" fontId="44" fillId="0" borderId="70" xfId="0" applyFont="1" applyBorder="1" applyAlignment="1">
      <alignment wrapText="1"/>
    </xf>
    <xf numFmtId="3" fontId="44" fillId="0" borderId="70" xfId="0" applyNumberFormat="1" applyFont="1" applyBorder="1" applyAlignment="1">
      <alignment horizontal="center"/>
    </xf>
    <xf numFmtId="168" fontId="19" fillId="8" borderId="71" xfId="0" applyNumberFormat="1" applyFont="1" applyFill="1" applyBorder="1" applyAlignment="1">
      <alignment horizontal="center"/>
    </xf>
    <xf numFmtId="8" fontId="19" fillId="8" borderId="70" xfId="0" applyNumberFormat="1" applyFont="1" applyFill="1" applyBorder="1"/>
    <xf numFmtId="0" fontId="59" fillId="8" borderId="33" xfId="0" applyFont="1" applyFill="1" applyBorder="1"/>
    <xf numFmtId="0" fontId="19" fillId="0" borderId="32" xfId="0" applyFont="1" applyBorder="1" applyAlignment="1">
      <alignment horizontal="left" wrapText="1"/>
    </xf>
    <xf numFmtId="0" fontId="44" fillId="2" borderId="33" xfId="0" applyFont="1" applyFill="1" applyBorder="1" applyAlignment="1">
      <alignment vertical="top"/>
    </xf>
    <xf numFmtId="0" fontId="59" fillId="0" borderId="32" xfId="0" applyFont="1" applyBorder="1" applyAlignment="1">
      <alignment wrapText="1"/>
    </xf>
    <xf numFmtId="0" fontId="19" fillId="0" borderId="12" xfId="0" applyFont="1" applyBorder="1"/>
    <xf numFmtId="0" fontId="44" fillId="0" borderId="33" xfId="0" applyFont="1" applyBorder="1" applyAlignment="1">
      <alignment horizontal="left" wrapText="1"/>
    </xf>
    <xf numFmtId="0" fontId="19" fillId="0" borderId="32" xfId="0" applyFont="1" applyBorder="1" applyAlignment="1">
      <alignment vertical="top" wrapText="1"/>
    </xf>
    <xf numFmtId="44" fontId="19" fillId="4" borderId="1" xfId="0" applyNumberFormat="1" applyFont="1" applyFill="1" applyBorder="1" applyAlignment="1">
      <alignment horizontal="center"/>
    </xf>
    <xf numFmtId="0" fontId="44" fillId="0" borderId="12" xfId="0" applyFont="1" applyBorder="1" applyAlignment="1">
      <alignment wrapText="1"/>
    </xf>
    <xf numFmtId="44" fontId="68" fillId="13" borderId="0" xfId="0" applyNumberFormat="1" applyFont="1" applyFill="1" applyAlignment="1">
      <alignment horizontal="center"/>
    </xf>
    <xf numFmtId="0" fontId="44" fillId="0" borderId="12" xfId="0" applyFont="1" applyBorder="1" applyAlignment="1"/>
    <xf numFmtId="0" fontId="60" fillId="0" borderId="12" xfId="0" applyFont="1" applyBorder="1" applyAlignment="1">
      <alignment vertical="top"/>
    </xf>
    <xf numFmtId="0" fontId="44" fillId="0" borderId="12" xfId="0" applyFont="1" applyBorder="1" applyAlignment="1">
      <alignment horizontal="center" wrapText="1"/>
    </xf>
    <xf numFmtId="0" fontId="69" fillId="13" borderId="0" xfId="0" applyFont="1" applyFill="1"/>
    <xf numFmtId="0" fontId="44" fillId="0" borderId="12" xfId="0" applyFont="1" applyBorder="1" applyAlignment="1">
      <alignment vertical="top"/>
    </xf>
    <xf numFmtId="0" fontId="60" fillId="0" borderId="32" xfId="0" applyFont="1" applyBorder="1" applyAlignment="1">
      <alignment vertical="top"/>
    </xf>
    <xf numFmtId="0" fontId="56" fillId="0" borderId="3" xfId="0" applyFont="1" applyBorder="1" applyAlignment="1">
      <alignment wrapText="1"/>
    </xf>
    <xf numFmtId="3" fontId="56" fillId="0" borderId="32" xfId="0" applyNumberFormat="1" applyFont="1" applyBorder="1" applyAlignment="1">
      <alignment horizontal="center"/>
    </xf>
    <xf numFmtId="44" fontId="60" fillId="4" borderId="32" xfId="0" applyNumberFormat="1" applyFont="1" applyFill="1" applyBorder="1" applyAlignment="1">
      <alignment horizontal="center"/>
    </xf>
    <xf numFmtId="168" fontId="60" fillId="8" borderId="32" xfId="0" applyNumberFormat="1" applyFont="1" applyFill="1" applyBorder="1" applyAlignment="1">
      <alignment horizontal="center"/>
    </xf>
    <xf numFmtId="166" fontId="60" fillId="8" borderId="32" xfId="0" applyNumberFormat="1" applyFont="1" applyFill="1" applyBorder="1"/>
    <xf numFmtId="0" fontId="44" fillId="0" borderId="14" xfId="0" applyFont="1" applyBorder="1" applyAlignment="1">
      <alignment wrapText="1"/>
    </xf>
    <xf numFmtId="0" fontId="44" fillId="0" borderId="15" xfId="0" applyFont="1" applyBorder="1" applyAlignment="1">
      <alignment horizontal="center" wrapText="1"/>
    </xf>
    <xf numFmtId="0" fontId="44" fillId="2" borderId="21" xfId="0" applyFont="1" applyFill="1" applyBorder="1" applyAlignment="1">
      <alignment vertical="top" wrapText="1"/>
    </xf>
    <xf numFmtId="0" fontId="44" fillId="2" borderId="22" xfId="0" applyFont="1" applyFill="1" applyBorder="1" applyAlignment="1">
      <alignment vertical="top" wrapText="1"/>
    </xf>
    <xf numFmtId="0" fontId="44" fillId="2" borderId="23" xfId="0" applyFont="1" applyFill="1" applyBorder="1" applyAlignment="1">
      <alignment vertical="top" wrapText="1"/>
    </xf>
    <xf numFmtId="44" fontId="19" fillId="4" borderId="37" xfId="0" applyNumberFormat="1" applyFont="1" applyFill="1" applyBorder="1" applyAlignment="1">
      <alignment horizontal="center"/>
    </xf>
    <xf numFmtId="168" fontId="19" fillId="8" borderId="33" xfId="0" applyNumberFormat="1" applyFont="1" applyFill="1" applyBorder="1" applyAlignment="1">
      <alignment horizontal="center"/>
    </xf>
    <xf numFmtId="0" fontId="19" fillId="0" borderId="33" xfId="0" applyFont="1" applyBorder="1" applyAlignment="1">
      <alignment horizontal="left" vertical="top" wrapText="1"/>
    </xf>
    <xf numFmtId="0" fontId="56" fillId="2" borderId="32" xfId="0" applyFont="1" applyFill="1" applyBorder="1" applyAlignment="1">
      <alignment horizontal="left" vertical="center"/>
    </xf>
    <xf numFmtId="0" fontId="19" fillId="8" borderId="14" xfId="0" applyFont="1" applyFill="1" applyBorder="1"/>
    <xf numFmtId="0" fontId="72" fillId="0" borderId="15" xfId="0" applyFont="1" applyBorder="1" applyAlignment="1">
      <alignment vertical="top"/>
    </xf>
    <xf numFmtId="0" fontId="73" fillId="2" borderId="15" xfId="0" applyFont="1" applyFill="1" applyBorder="1" applyAlignment="1">
      <alignment horizontal="left" vertical="top"/>
    </xf>
    <xf numFmtId="44" fontId="19" fillId="8" borderId="12" xfId="0" applyNumberFormat="1" applyFont="1" applyFill="1" applyBorder="1"/>
    <xf numFmtId="0" fontId="19" fillId="0" borderId="0" xfId="0" applyFont="1" applyAlignment="1"/>
    <xf numFmtId="0" fontId="44" fillId="0" borderId="12" xfId="0" applyFont="1" applyBorder="1" applyAlignment="1">
      <alignment horizontal="left" vertical="center"/>
    </xf>
    <xf numFmtId="0" fontId="74" fillId="2" borderId="12" xfId="0" applyFont="1" applyFill="1" applyBorder="1" applyAlignment="1">
      <alignment wrapText="1"/>
    </xf>
    <xf numFmtId="0" fontId="44" fillId="0" borderId="12" xfId="0" applyFont="1" applyBorder="1" applyAlignment="1">
      <alignment horizontal="right" vertical="center"/>
    </xf>
    <xf numFmtId="0" fontId="44" fillId="0" borderId="12" xfId="0" applyFont="1" applyBorder="1" applyAlignment="1">
      <alignment horizontal="center" vertical="center"/>
    </xf>
    <xf numFmtId="0" fontId="44" fillId="0" borderId="12" xfId="0" applyFont="1" applyBorder="1" applyAlignment="1">
      <alignment horizontal="right" vertical="center"/>
    </xf>
    <xf numFmtId="44" fontId="44" fillId="2" borderId="12" xfId="0" applyNumberFormat="1" applyFont="1" applyFill="1" applyBorder="1" applyAlignment="1">
      <alignment vertical="center"/>
    </xf>
    <xf numFmtId="0" fontId="19" fillId="0" borderId="0" xfId="0" applyFont="1"/>
    <xf numFmtId="0" fontId="10" fillId="0" borderId="73" xfId="0" applyFont="1" applyBorder="1" applyAlignment="1">
      <alignment horizontal="right" vertical="center"/>
    </xf>
    <xf numFmtId="0" fontId="28" fillId="0" borderId="0" xfId="0" applyFont="1" applyAlignment="1">
      <alignment horizontal="center"/>
    </xf>
    <xf numFmtId="0" fontId="44" fillId="0" borderId="0" xfId="0" applyFont="1" applyAlignment="1">
      <alignment vertical="top" wrapText="1"/>
    </xf>
    <xf numFmtId="0" fontId="44" fillId="0" borderId="32" xfId="0" applyFont="1" applyBorder="1" applyAlignment="1">
      <alignment vertical="top" wrapText="1"/>
    </xf>
    <xf numFmtId="0" fontId="56" fillId="2" borderId="32" xfId="0" applyFont="1" applyFill="1" applyBorder="1" applyAlignment="1">
      <alignment horizontal="left" vertical="top" wrapText="1"/>
    </xf>
    <xf numFmtId="0" fontId="44" fillId="0" borderId="33" xfId="0" applyFont="1" applyBorder="1" applyAlignment="1">
      <alignment vertical="top" wrapText="1"/>
    </xf>
    <xf numFmtId="0" fontId="19" fillId="0" borderId="32" xfId="0" applyFont="1" applyBorder="1" applyAlignment="1">
      <alignment vertical="top"/>
    </xf>
    <xf numFmtId="0" fontId="1" fillId="0" borderId="0" xfId="0" applyFont="1" applyAlignment="1"/>
    <xf numFmtId="0" fontId="89" fillId="0" borderId="0" xfId="0" applyFont="1" applyAlignment="1"/>
    <xf numFmtId="0" fontId="13" fillId="0" borderId="53" xfId="0" applyFont="1" applyBorder="1" applyAlignment="1">
      <alignment horizontal="right"/>
    </xf>
    <xf numFmtId="0" fontId="17" fillId="0" borderId="49" xfId="0" applyFont="1" applyBorder="1" applyAlignment="1">
      <alignment horizontal="center"/>
    </xf>
    <xf numFmtId="0" fontId="19" fillId="0" borderId="64" xfId="0" applyFont="1" applyBorder="1" applyAlignment="1">
      <alignment horizontal="right"/>
    </xf>
    <xf numFmtId="0" fontId="20" fillId="0" borderId="54" xfId="0" applyFont="1" applyBorder="1" applyAlignment="1">
      <alignment vertical="top" wrapText="1"/>
    </xf>
    <xf numFmtId="0" fontId="21" fillId="0" borderId="54" xfId="0" applyFont="1" applyBorder="1" applyAlignment="1">
      <alignment horizontal="left"/>
    </xf>
    <xf numFmtId="165" fontId="22" fillId="2" borderId="54" xfId="0" applyNumberFormat="1" applyFont="1" applyFill="1" applyBorder="1" applyAlignment="1">
      <alignment horizontal="left" vertical="top"/>
    </xf>
    <xf numFmtId="165" fontId="23" fillId="0" borderId="54" xfId="0" applyNumberFormat="1" applyFont="1" applyBorder="1" applyAlignment="1">
      <alignment horizontal="center"/>
    </xf>
    <xf numFmtId="0" fontId="7" fillId="2" borderId="54" xfId="0" applyFont="1" applyFill="1" applyBorder="1" applyAlignment="1">
      <alignment horizontal="center"/>
    </xf>
    <xf numFmtId="0" fontId="24" fillId="0" borderId="54" xfId="0" applyFont="1" applyBorder="1" applyAlignment="1">
      <alignment vertical="top"/>
    </xf>
    <xf numFmtId="3" fontId="20" fillId="0" borderId="54" xfId="0" applyNumberFormat="1" applyFont="1" applyBorder="1" applyAlignment="1">
      <alignment wrapText="1"/>
    </xf>
    <xf numFmtId="4" fontId="20" fillId="4" borderId="54" xfId="0" applyNumberFormat="1" applyFont="1" applyFill="1" applyBorder="1" applyAlignment="1">
      <alignment horizontal="center"/>
    </xf>
    <xf numFmtId="44" fontId="5" fillId="2" borderId="49" xfId="0" applyNumberFormat="1" applyFont="1" applyFill="1" applyBorder="1" applyAlignment="1">
      <alignment horizontal="center"/>
    </xf>
    <xf numFmtId="0" fontId="13" fillId="0" borderId="64" xfId="0" applyFont="1" applyBorder="1" applyAlignment="1">
      <alignment horizontal="right" vertical="center"/>
    </xf>
    <xf numFmtId="3" fontId="14" fillId="2" borderId="9" xfId="0" applyNumberFormat="1" applyFont="1" applyFill="1" applyBorder="1" applyAlignment="1">
      <alignment horizontal="center" wrapText="1"/>
    </xf>
    <xf numFmtId="0" fontId="25" fillId="0" borderId="64" xfId="0" applyFont="1" applyBorder="1" applyAlignment="1">
      <alignment vertical="center"/>
    </xf>
    <xf numFmtId="0" fontId="13" fillId="2" borderId="22" xfId="0" applyFont="1" applyFill="1" applyBorder="1" applyAlignment="1">
      <alignment horizontal="center"/>
    </xf>
    <xf numFmtId="0" fontId="2" fillId="0" borderId="64" xfId="0" applyFont="1" applyBorder="1" applyAlignment="1">
      <alignment horizontal="right" vertical="center" wrapText="1"/>
    </xf>
    <xf numFmtId="0" fontId="14" fillId="0" borderId="64" xfId="0" applyFont="1" applyBorder="1" applyAlignment="1">
      <alignment horizontal="right" vertical="center" wrapText="1"/>
    </xf>
    <xf numFmtId="0" fontId="25" fillId="0" borderId="64" xfId="0" applyFont="1" applyBorder="1"/>
    <xf numFmtId="0" fontId="13" fillId="4" borderId="22" xfId="0" applyFont="1" applyFill="1" applyBorder="1" applyAlignment="1">
      <alignment horizontal="center"/>
    </xf>
    <xf numFmtId="0" fontId="28" fillId="0" borderId="64" xfId="0" applyFont="1" applyBorder="1"/>
    <xf numFmtId="0" fontId="31" fillId="0" borderId="64" xfId="0" applyFont="1" applyBorder="1"/>
    <xf numFmtId="0" fontId="31" fillId="0" borderId="51" xfId="0" applyFont="1" applyBorder="1"/>
    <xf numFmtId="0" fontId="9" fillId="0" borderId="0" xfId="0" applyFont="1" applyAlignment="1" applyProtection="1">
      <alignment horizontal="right"/>
    </xf>
    <xf numFmtId="0" fontId="14" fillId="0" borderId="9" xfId="0" applyFont="1" applyBorder="1" applyAlignment="1" applyProtection="1">
      <alignment horizontal="center" wrapText="1"/>
    </xf>
    <xf numFmtId="3" fontId="14" fillId="2" borderId="12" xfId="0" applyNumberFormat="1" applyFont="1" applyFill="1" applyBorder="1" applyAlignment="1" applyProtection="1">
      <alignment horizontal="center"/>
    </xf>
    <xf numFmtId="3" fontId="14" fillId="2" borderId="22" xfId="0" applyNumberFormat="1" applyFont="1" applyFill="1" applyBorder="1" applyAlignment="1" applyProtection="1">
      <alignment horizontal="center"/>
    </xf>
    <xf numFmtId="3" fontId="2" fillId="2" borderId="12" xfId="0" applyNumberFormat="1" applyFont="1" applyFill="1" applyBorder="1" applyAlignment="1" applyProtection="1">
      <alignment horizontal="center"/>
    </xf>
    <xf numFmtId="3" fontId="2" fillId="2" borderId="9" xfId="0" applyNumberFormat="1" applyFont="1" applyFill="1" applyBorder="1" applyAlignment="1" applyProtection="1">
      <alignment horizontal="center"/>
    </xf>
    <xf numFmtId="3" fontId="14" fillId="0" borderId="22" xfId="0" applyNumberFormat="1" applyFont="1" applyBorder="1" applyAlignment="1" applyProtection="1">
      <alignment horizontal="center"/>
    </xf>
    <xf numFmtId="2" fontId="5" fillId="0" borderId="0" xfId="0" applyNumberFormat="1" applyFont="1" applyAlignment="1" applyProtection="1">
      <alignment horizontal="right"/>
      <protection locked="0"/>
    </xf>
    <xf numFmtId="164" fontId="6" fillId="2" borderId="0" xfId="0" applyNumberFormat="1" applyFont="1" applyFill="1" applyAlignment="1" applyProtection="1">
      <alignment horizontal="right"/>
      <protection locked="0"/>
    </xf>
    <xf numFmtId="44" fontId="7" fillId="3" borderId="0" xfId="0" applyNumberFormat="1" applyFont="1" applyFill="1" applyAlignment="1" applyProtection="1">
      <alignment horizontal="center"/>
      <protection locked="0"/>
    </xf>
    <xf numFmtId="0" fontId="0" fillId="0" borderId="0" xfId="0" applyFont="1" applyAlignment="1" applyProtection="1">
      <protection locked="0"/>
    </xf>
    <xf numFmtId="0" fontId="18" fillId="0" borderId="6" xfId="0" applyFont="1" applyBorder="1" applyAlignment="1" applyProtection="1">
      <alignment horizontal="right"/>
      <protection locked="0"/>
    </xf>
    <xf numFmtId="3" fontId="26" fillId="2" borderId="12" xfId="0" applyNumberFormat="1" applyFont="1" applyFill="1" applyBorder="1" applyAlignment="1" applyProtection="1">
      <alignment horizontal="center"/>
      <protection locked="0"/>
    </xf>
    <xf numFmtId="3" fontId="26" fillId="2" borderId="22" xfId="0" applyNumberFormat="1" applyFont="1" applyFill="1" applyBorder="1" applyAlignment="1" applyProtection="1">
      <alignment horizontal="center"/>
      <protection locked="0"/>
    </xf>
    <xf numFmtId="3" fontId="26" fillId="2" borderId="9" xfId="0" applyNumberFormat="1" applyFont="1" applyFill="1" applyBorder="1" applyAlignment="1" applyProtection="1">
      <alignment horizontal="center"/>
      <protection locked="0"/>
    </xf>
    <xf numFmtId="3" fontId="13" fillId="2" borderId="22" xfId="0" applyNumberFormat="1" applyFont="1" applyFill="1" applyBorder="1" applyAlignment="1" applyProtection="1">
      <alignment horizontal="center"/>
      <protection locked="0"/>
    </xf>
    <xf numFmtId="0" fontId="44" fillId="0" borderId="0" xfId="0" applyFont="1" applyAlignment="1" applyProtection="1">
      <alignment horizontal="center" wrapText="1"/>
    </xf>
    <xf numFmtId="0" fontId="78" fillId="0" borderId="32" xfId="0" applyFont="1" applyBorder="1" applyAlignment="1" applyProtection="1">
      <alignment horizontal="center" wrapText="1"/>
    </xf>
    <xf numFmtId="0" fontId="78" fillId="0" borderId="53" xfId="0" applyFont="1" applyBorder="1" applyAlignment="1" applyProtection="1">
      <alignment horizontal="center" wrapText="1"/>
    </xf>
    <xf numFmtId="0" fontId="91" fillId="2" borderId="53" xfId="0" applyFont="1" applyFill="1" applyBorder="1" applyAlignment="1" applyProtection="1">
      <alignment horizontal="left" wrapText="1"/>
    </xf>
    <xf numFmtId="0" fontId="78" fillId="8" borderId="53" xfId="0" applyFont="1" applyFill="1" applyBorder="1" applyAlignment="1" applyProtection="1">
      <alignment horizontal="center" wrapText="1"/>
    </xf>
    <xf numFmtId="165" fontId="78" fillId="8" borderId="53" xfId="0" applyNumberFormat="1" applyFont="1" applyFill="1" applyBorder="1" applyAlignment="1" applyProtection="1">
      <alignment horizontal="center" wrapText="1"/>
    </xf>
    <xf numFmtId="3" fontId="78" fillId="0" borderId="32" xfId="0" applyNumberFormat="1" applyFont="1" applyBorder="1" applyAlignment="1" applyProtection="1">
      <alignment horizontal="center" wrapText="1"/>
    </xf>
    <xf numFmtId="3" fontId="78" fillId="4" borderId="32" xfId="0" applyNumberFormat="1" applyFont="1" applyFill="1" applyBorder="1" applyAlignment="1" applyProtection="1">
      <alignment horizontal="center" wrapText="1"/>
    </xf>
    <xf numFmtId="4" fontId="78" fillId="2" borderId="32" xfId="0" applyNumberFormat="1" applyFont="1" applyFill="1" applyBorder="1" applyAlignment="1" applyProtection="1">
      <alignment horizontal="center" wrapText="1"/>
    </xf>
    <xf numFmtId="168" fontId="78" fillId="2" borderId="32" xfId="0" applyNumberFormat="1" applyFont="1" applyFill="1" applyBorder="1" applyAlignment="1" applyProtection="1">
      <alignment horizontal="center" wrapText="1"/>
    </xf>
    <xf numFmtId="0" fontId="85" fillId="0" borderId="0" xfId="0" applyFont="1" applyAlignment="1" applyProtection="1">
      <alignment vertical="top" wrapText="1"/>
    </xf>
    <xf numFmtId="0" fontId="78" fillId="0" borderId="32" xfId="0" applyFont="1" applyBorder="1" applyAlignment="1" applyProtection="1">
      <alignment horizontal="left"/>
    </xf>
    <xf numFmtId="0" fontId="78" fillId="0" borderId="32" xfId="0" applyFont="1" applyBorder="1" applyAlignment="1" applyProtection="1">
      <alignment horizontal="left" wrapText="1"/>
    </xf>
    <xf numFmtId="3" fontId="78" fillId="0" borderId="32" xfId="0" applyNumberFormat="1" applyFont="1" applyBorder="1" applyAlignment="1" applyProtection="1">
      <alignment horizontal="left"/>
    </xf>
    <xf numFmtId="44" fontId="79" fillId="4" borderId="32" xfId="0" applyNumberFormat="1" applyFont="1" applyFill="1" applyBorder="1" applyAlignment="1" applyProtection="1">
      <alignment horizontal="center"/>
    </xf>
    <xf numFmtId="167" fontId="79" fillId="8" borderId="32" xfId="0" applyNumberFormat="1" applyFont="1" applyFill="1" applyBorder="1" applyAlignment="1" applyProtection="1">
      <alignment horizontal="center"/>
    </xf>
    <xf numFmtId="169" fontId="78" fillId="8" borderId="32" xfId="0" applyNumberFormat="1" applyFont="1" applyFill="1" applyBorder="1" applyAlignment="1" applyProtection="1">
      <alignment horizontal="left"/>
    </xf>
    <xf numFmtId="0" fontId="79" fillId="0" borderId="37" xfId="0" applyFont="1" applyBorder="1" applyAlignment="1" applyProtection="1">
      <alignment horizontal="left" wrapText="1"/>
    </xf>
    <xf numFmtId="0" fontId="78" fillId="0" borderId="37" xfId="0" applyFont="1" applyBorder="1" applyAlignment="1" applyProtection="1">
      <alignment horizontal="left" wrapText="1"/>
    </xf>
    <xf numFmtId="3" fontId="78" fillId="0" borderId="37" xfId="0" applyNumberFormat="1" applyFont="1" applyBorder="1" applyAlignment="1" applyProtection="1">
      <alignment horizontal="left"/>
    </xf>
    <xf numFmtId="44" fontId="79" fillId="4" borderId="37" xfId="0" applyNumberFormat="1" applyFont="1" applyFill="1" applyBorder="1" applyAlignment="1" applyProtection="1">
      <alignment horizontal="center"/>
    </xf>
    <xf numFmtId="167" fontId="79" fillId="8" borderId="37" xfId="0" applyNumberFormat="1" applyFont="1" applyFill="1" applyBorder="1" applyAlignment="1" applyProtection="1">
      <alignment horizontal="center"/>
    </xf>
    <xf numFmtId="169" fontId="78" fillId="8" borderId="37" xfId="0" applyNumberFormat="1" applyFont="1" applyFill="1" applyBorder="1" applyAlignment="1" applyProtection="1">
      <alignment horizontal="left"/>
    </xf>
    <xf numFmtId="0" fontId="78" fillId="10" borderId="37" xfId="0" applyFont="1" applyFill="1" applyBorder="1" applyAlignment="1" applyProtection="1">
      <alignment horizontal="left"/>
    </xf>
    <xf numFmtId="0" fontId="78" fillId="0" borderId="37" xfId="0" applyFont="1" applyBorder="1" applyAlignment="1" applyProtection="1">
      <alignment horizontal="left"/>
    </xf>
    <xf numFmtId="0" fontId="78" fillId="10" borderId="22" xfId="0" applyFont="1" applyFill="1" applyBorder="1" applyAlignment="1" applyProtection="1">
      <alignment horizontal="left"/>
    </xf>
    <xf numFmtId="0" fontId="80" fillId="8" borderId="22" xfId="0" applyFont="1" applyFill="1" applyBorder="1" applyAlignment="1" applyProtection="1">
      <alignment horizontal="center" wrapText="1"/>
    </xf>
    <xf numFmtId="0" fontId="78" fillId="0" borderId="22" xfId="0" applyFont="1" applyBorder="1" applyAlignment="1" applyProtection="1">
      <alignment horizontal="left" wrapText="1"/>
    </xf>
    <xf numFmtId="0" fontId="78" fillId="0" borderId="22" xfId="0" applyFont="1" applyBorder="1" applyAlignment="1" applyProtection="1">
      <alignment horizontal="left"/>
    </xf>
    <xf numFmtId="44" fontId="79" fillId="4" borderId="22" xfId="0" applyNumberFormat="1" applyFont="1" applyFill="1" applyBorder="1" applyAlignment="1" applyProtection="1">
      <alignment horizontal="center"/>
    </xf>
    <xf numFmtId="44" fontId="79" fillId="8" borderId="22" xfId="0" applyNumberFormat="1" applyFont="1" applyFill="1" applyBorder="1" applyAlignment="1" applyProtection="1">
      <alignment horizontal="center"/>
    </xf>
    <xf numFmtId="167" fontId="79" fillId="8" borderId="22" xfId="0" applyNumberFormat="1" applyFont="1" applyFill="1" applyBorder="1" applyAlignment="1" applyProtection="1">
      <alignment horizontal="center"/>
    </xf>
    <xf numFmtId="169" fontId="78" fillId="8" borderId="22" xfId="0" applyNumberFormat="1" applyFont="1" applyFill="1" applyBorder="1" applyAlignment="1" applyProtection="1">
      <alignment horizontal="left"/>
    </xf>
    <xf numFmtId="0" fontId="80" fillId="0" borderId="22" xfId="0" applyFont="1" applyBorder="1" applyAlignment="1" applyProtection="1">
      <alignment horizontal="center" wrapText="1"/>
    </xf>
    <xf numFmtId="0" fontId="86" fillId="0" borderId="38" xfId="0" applyFont="1" applyBorder="1" applyAlignment="1" applyProtection="1">
      <alignment horizontal="right" vertical="center"/>
    </xf>
    <xf numFmtId="0" fontId="88" fillId="0" borderId="0" xfId="0" applyFont="1" applyAlignment="1" applyProtection="1"/>
    <xf numFmtId="0" fontId="88" fillId="0" borderId="0" xfId="0" applyFont="1" applyAlignment="1" applyProtection="1">
      <alignment horizontal="left"/>
    </xf>
    <xf numFmtId="0" fontId="86" fillId="0" borderId="0" xfId="0" applyFont="1" applyAlignment="1" applyProtection="1"/>
    <xf numFmtId="0" fontId="89" fillId="0" borderId="0" xfId="0" applyFont="1" applyAlignment="1" applyProtection="1"/>
    <xf numFmtId="0" fontId="87" fillId="0" borderId="0" xfId="0" applyFont="1" applyAlignment="1" applyProtection="1">
      <alignment horizontal="left"/>
    </xf>
    <xf numFmtId="0" fontId="88" fillId="0" borderId="0" xfId="0" applyFont="1" applyAlignment="1" applyProtection="1">
      <alignment horizontal="center" vertical="top"/>
    </xf>
    <xf numFmtId="0" fontId="88" fillId="0" borderId="0" xfId="0" applyFont="1" applyAlignment="1" applyProtection="1">
      <alignment horizontal="center"/>
    </xf>
    <xf numFmtId="0" fontId="88" fillId="0" borderId="27" xfId="0" applyFont="1" applyBorder="1" applyAlignment="1" applyProtection="1">
      <alignment vertical="top"/>
    </xf>
    <xf numFmtId="0" fontId="88" fillId="0" borderId="54" xfId="0" applyFont="1" applyBorder="1" applyAlignment="1" applyProtection="1">
      <alignment vertical="top"/>
    </xf>
    <xf numFmtId="0" fontId="88" fillId="0" borderId="0" xfId="0" applyFont="1" applyAlignment="1" applyProtection="1">
      <alignment vertical="top"/>
    </xf>
    <xf numFmtId="0" fontId="1" fillId="0" borderId="0" xfId="0" applyFont="1" applyAlignment="1" applyProtection="1"/>
    <xf numFmtId="0" fontId="80" fillId="8" borderId="32" xfId="0" applyFont="1" applyFill="1" applyBorder="1" applyAlignment="1" applyProtection="1">
      <alignment horizontal="center" wrapText="1"/>
      <protection locked="0"/>
    </xf>
    <xf numFmtId="49" fontId="78" fillId="8" borderId="32" xfId="0" applyNumberFormat="1" applyFont="1" applyFill="1" applyBorder="1" applyAlignment="1" applyProtection="1">
      <alignment horizontal="center"/>
      <protection locked="0"/>
    </xf>
    <xf numFmtId="0" fontId="80" fillId="8" borderId="37" xfId="0" applyFont="1" applyFill="1" applyBorder="1" applyAlignment="1" applyProtection="1">
      <alignment horizontal="center" wrapText="1"/>
      <protection locked="0"/>
    </xf>
    <xf numFmtId="49" fontId="78" fillId="8" borderId="37" xfId="0" applyNumberFormat="1" applyFont="1" applyFill="1" applyBorder="1" applyAlignment="1" applyProtection="1">
      <alignment horizontal="center"/>
      <protection locked="0"/>
    </xf>
    <xf numFmtId="0" fontId="80" fillId="8" borderId="22" xfId="0" applyFont="1" applyFill="1" applyBorder="1" applyAlignment="1" applyProtection="1">
      <alignment horizontal="center" wrapText="1"/>
      <protection locked="0"/>
    </xf>
    <xf numFmtId="49" fontId="78" fillId="8" borderId="22" xfId="0" applyNumberFormat="1" applyFont="1" applyFill="1" applyBorder="1" applyAlignment="1" applyProtection="1">
      <alignment horizontal="center"/>
      <protection locked="0"/>
    </xf>
    <xf numFmtId="44" fontId="79" fillId="8" borderId="32" xfId="0" applyNumberFormat="1" applyFont="1" applyFill="1" applyBorder="1" applyAlignment="1" applyProtection="1">
      <alignment horizontal="center"/>
      <protection locked="0"/>
    </xf>
    <xf numFmtId="44" fontId="79" fillId="8" borderId="37" xfId="0" applyNumberFormat="1" applyFont="1" applyFill="1" applyBorder="1" applyAlignment="1" applyProtection="1">
      <alignment horizontal="center"/>
      <protection locked="0"/>
    </xf>
    <xf numFmtId="44" fontId="79" fillId="8" borderId="22" xfId="0" applyNumberFormat="1" applyFont="1" applyFill="1" applyBorder="1" applyAlignment="1" applyProtection="1">
      <alignment horizontal="center"/>
      <protection locked="0"/>
    </xf>
    <xf numFmtId="0" fontId="88" fillId="11" borderId="54" xfId="0" applyFont="1" applyFill="1" applyBorder="1" applyAlignment="1" applyProtection="1">
      <protection locked="0"/>
    </xf>
    <xf numFmtId="0" fontId="88" fillId="0" borderId="54" xfId="0" applyFont="1" applyBorder="1" applyAlignment="1" applyProtection="1">
      <protection locked="0"/>
    </xf>
    <xf numFmtId="0" fontId="88" fillId="2" borderId="54" xfId="0" applyFont="1" applyFill="1" applyBorder="1" applyAlignment="1" applyProtection="1">
      <protection locked="0"/>
    </xf>
    <xf numFmtId="0" fontId="88" fillId="0" borderId="75" xfId="0" applyFont="1" applyBorder="1" applyAlignment="1" applyProtection="1">
      <alignment vertical="top"/>
    </xf>
    <xf numFmtId="0" fontId="88" fillId="0" borderId="75" xfId="0" applyFont="1" applyBorder="1" applyAlignment="1" applyProtection="1"/>
    <xf numFmtId="0" fontId="88" fillId="0" borderId="75" xfId="0" applyFont="1" applyBorder="1" applyAlignment="1" applyProtection="1">
      <alignment horizontal="center"/>
    </xf>
    <xf numFmtId="0" fontId="23" fillId="8" borderId="15" xfId="0" applyFont="1" applyFill="1" applyBorder="1" applyAlignment="1" applyProtection="1">
      <alignment horizontal="center"/>
      <protection locked="0"/>
    </xf>
    <xf numFmtId="49" fontId="7" fillId="8" borderId="15" xfId="0" applyNumberFormat="1" applyFont="1" applyFill="1" applyBorder="1" applyAlignment="1" applyProtection="1">
      <alignment horizontal="center"/>
      <protection locked="0"/>
    </xf>
    <xf numFmtId="0" fontId="23" fillId="8" borderId="12" xfId="0" applyFont="1" applyFill="1" applyBorder="1" applyAlignment="1" applyProtection="1">
      <alignment horizontal="center"/>
      <protection locked="0"/>
    </xf>
    <xf numFmtId="49" fontId="7" fillId="8" borderId="12" xfId="0" applyNumberFormat="1" applyFont="1" applyFill="1" applyBorder="1" applyAlignment="1" applyProtection="1">
      <alignment horizontal="center"/>
      <protection locked="0"/>
    </xf>
    <xf numFmtId="0" fontId="23" fillId="8" borderId="21" xfId="0" applyFont="1" applyFill="1" applyBorder="1" applyAlignment="1" applyProtection="1">
      <alignment horizontal="center" wrapText="1"/>
      <protection locked="0"/>
    </xf>
    <xf numFmtId="49" fontId="7" fillId="8" borderId="32" xfId="0" applyNumberFormat="1" applyFont="1" applyFill="1" applyBorder="1" applyAlignment="1" applyProtection="1">
      <alignment horizontal="center"/>
      <protection locked="0"/>
    </xf>
    <xf numFmtId="0" fontId="23" fillId="8" borderId="32" xfId="0" applyFont="1" applyFill="1" applyBorder="1" applyAlignment="1" applyProtection="1">
      <alignment horizontal="center" vertical="center" wrapText="1"/>
      <protection locked="0"/>
    </xf>
    <xf numFmtId="49" fontId="7" fillId="8" borderId="32" xfId="0" applyNumberFormat="1" applyFont="1" applyFill="1" applyBorder="1" applyAlignment="1" applyProtection="1">
      <alignment horizontal="center" vertical="center"/>
      <protection locked="0"/>
    </xf>
    <xf numFmtId="0" fontId="23" fillId="8" borderId="32" xfId="0" applyFont="1" applyFill="1" applyBorder="1" applyAlignment="1" applyProtection="1">
      <alignment horizontal="center"/>
      <protection locked="0"/>
    </xf>
    <xf numFmtId="0" fontId="23" fillId="8" borderId="36" xfId="0" applyFont="1" applyFill="1" applyBorder="1" applyAlignment="1" applyProtection="1">
      <alignment horizontal="center"/>
      <protection locked="0"/>
    </xf>
    <xf numFmtId="49" fontId="7" fillId="8" borderId="33" xfId="0" applyNumberFormat="1" applyFont="1" applyFill="1" applyBorder="1" applyAlignment="1" applyProtection="1">
      <alignment horizontal="center"/>
      <protection locked="0"/>
    </xf>
    <xf numFmtId="0" fontId="23" fillId="8" borderId="23" xfId="0" applyFont="1" applyFill="1" applyBorder="1" applyAlignment="1" applyProtection="1">
      <alignment horizontal="center"/>
      <protection locked="0"/>
    </xf>
    <xf numFmtId="0" fontId="23" fillId="8" borderId="22" xfId="0" applyFont="1" applyFill="1" applyBorder="1" applyAlignment="1" applyProtection="1">
      <alignment horizontal="center"/>
      <protection locked="0"/>
    </xf>
    <xf numFmtId="0" fontId="23" fillId="8" borderId="21" xfId="0" applyFont="1" applyFill="1" applyBorder="1" applyAlignment="1" applyProtection="1">
      <alignment horizontal="center"/>
      <protection locked="0"/>
    </xf>
    <xf numFmtId="49" fontId="7" fillId="8" borderId="23" xfId="0" applyNumberFormat="1" applyFont="1" applyFill="1" applyBorder="1" applyAlignment="1" applyProtection="1">
      <alignment horizontal="center"/>
      <protection locked="0"/>
    </xf>
    <xf numFmtId="0" fontId="23" fillId="8" borderId="37" xfId="0" applyFont="1" applyFill="1" applyBorder="1" applyAlignment="1" applyProtection="1">
      <alignment horizontal="center"/>
      <protection locked="0"/>
    </xf>
    <xf numFmtId="49" fontId="7" fillId="8" borderId="37" xfId="0" applyNumberFormat="1" applyFont="1" applyFill="1" applyBorder="1" applyAlignment="1" applyProtection="1">
      <alignment horizontal="center"/>
      <protection locked="0"/>
    </xf>
    <xf numFmtId="0" fontId="23" fillId="8" borderId="33" xfId="0" applyFont="1" applyFill="1" applyBorder="1" applyAlignment="1" applyProtection="1">
      <alignment horizontal="center"/>
      <protection locked="0"/>
    </xf>
    <xf numFmtId="0" fontId="23" fillId="8" borderId="12" xfId="0" applyFont="1" applyFill="1" applyBorder="1" applyAlignment="1" applyProtection="1">
      <alignment horizontal="center" wrapText="1"/>
      <protection locked="0"/>
    </xf>
    <xf numFmtId="2" fontId="23" fillId="8" borderId="12" xfId="0" applyNumberFormat="1" applyFont="1" applyFill="1" applyBorder="1" applyAlignment="1" applyProtection="1">
      <alignment horizontal="center" wrapText="1"/>
      <protection locked="0"/>
    </xf>
    <xf numFmtId="44" fontId="19" fillId="8" borderId="12" xfId="0" applyNumberFormat="1" applyFont="1" applyFill="1" applyBorder="1" applyAlignment="1" applyProtection="1">
      <alignment horizontal="center"/>
      <protection locked="0"/>
    </xf>
    <xf numFmtId="44" fontId="19" fillId="8" borderId="15" xfId="0" applyNumberFormat="1" applyFont="1" applyFill="1" applyBorder="1" applyAlignment="1" applyProtection="1">
      <alignment horizontal="center"/>
      <protection locked="0"/>
    </xf>
    <xf numFmtId="44" fontId="19" fillId="8" borderId="21" xfId="0" applyNumberFormat="1" applyFont="1" applyFill="1" applyBorder="1" applyAlignment="1" applyProtection="1">
      <alignment horizontal="center"/>
      <protection locked="0"/>
    </xf>
    <xf numFmtId="44" fontId="19" fillId="8" borderId="32" xfId="0" applyNumberFormat="1" applyFont="1" applyFill="1" applyBorder="1" applyAlignment="1" applyProtection="1">
      <alignment horizontal="center" vertical="center"/>
      <protection locked="0"/>
    </xf>
    <xf numFmtId="44" fontId="19" fillId="8" borderId="32" xfId="0" applyNumberFormat="1" applyFont="1" applyFill="1" applyBorder="1" applyAlignment="1" applyProtection="1">
      <alignment horizontal="center"/>
      <protection locked="0"/>
    </xf>
    <xf numFmtId="44" fontId="19" fillId="8" borderId="36" xfId="0" applyNumberFormat="1" applyFont="1" applyFill="1" applyBorder="1" applyAlignment="1" applyProtection="1">
      <alignment horizontal="center"/>
      <protection locked="0"/>
    </xf>
    <xf numFmtId="44" fontId="19" fillId="8" borderId="23" xfId="0" applyNumberFormat="1" applyFont="1" applyFill="1" applyBorder="1" applyAlignment="1" applyProtection="1">
      <alignment horizontal="center"/>
      <protection locked="0"/>
    </xf>
    <xf numFmtId="44" fontId="19" fillId="8" borderId="22" xfId="0" applyNumberFormat="1" applyFont="1" applyFill="1" applyBorder="1" applyAlignment="1" applyProtection="1">
      <alignment horizontal="center"/>
      <protection locked="0"/>
    </xf>
    <xf numFmtId="44" fontId="19" fillId="8" borderId="37" xfId="0" applyNumberFormat="1" applyFont="1" applyFill="1" applyBorder="1" applyAlignment="1" applyProtection="1">
      <alignment horizontal="center"/>
      <protection locked="0"/>
    </xf>
    <xf numFmtId="44" fontId="19" fillId="8" borderId="33" xfId="0" applyNumberFormat="1" applyFont="1" applyFill="1" applyBorder="1" applyAlignment="1" applyProtection="1">
      <alignment horizontal="center"/>
      <protection locked="0"/>
    </xf>
    <xf numFmtId="49" fontId="7" fillId="8" borderId="32" xfId="0" applyNumberFormat="1" applyFont="1" applyFill="1" applyBorder="1" applyAlignment="1" applyProtection="1">
      <alignment horizontal="center" wrapText="1"/>
      <protection locked="0"/>
    </xf>
    <xf numFmtId="0" fontId="23" fillId="8" borderId="32" xfId="0" applyFont="1" applyFill="1" applyBorder="1" applyAlignment="1" applyProtection="1">
      <alignment horizontal="center" vertical="center"/>
      <protection locked="0"/>
    </xf>
    <xf numFmtId="49" fontId="7" fillId="8" borderId="22" xfId="0" applyNumberFormat="1" applyFont="1" applyFill="1" applyBorder="1" applyAlignment="1" applyProtection="1">
      <alignment horizontal="center"/>
      <protection locked="0"/>
    </xf>
    <xf numFmtId="49" fontId="7" fillId="8" borderId="21" xfId="0" applyNumberFormat="1" applyFont="1" applyFill="1" applyBorder="1" applyAlignment="1" applyProtection="1">
      <alignment horizontal="center"/>
      <protection locked="0"/>
    </xf>
    <xf numFmtId="0" fontId="23" fillId="8" borderId="45" xfId="0" applyFont="1" applyFill="1" applyBorder="1" applyAlignment="1" applyProtection="1">
      <alignment horizontal="center"/>
      <protection locked="0"/>
    </xf>
    <xf numFmtId="0" fontId="23" fillId="8" borderId="21" xfId="0" applyFont="1" applyFill="1" applyBorder="1" applyAlignment="1" applyProtection="1">
      <alignment horizontal="center" vertical="top"/>
      <protection locked="0"/>
    </xf>
    <xf numFmtId="49" fontId="7" fillId="8" borderId="32" xfId="0" applyNumberFormat="1" applyFont="1" applyFill="1" applyBorder="1" applyAlignment="1" applyProtection="1">
      <alignment horizontal="center" vertical="top" wrapText="1"/>
      <protection locked="0"/>
    </xf>
    <xf numFmtId="49" fontId="61" fillId="8" borderId="33" xfId="0" applyNumberFormat="1" applyFont="1" applyFill="1" applyBorder="1" applyAlignment="1" applyProtection="1">
      <alignment horizontal="center" wrapText="1"/>
      <protection locked="0"/>
    </xf>
    <xf numFmtId="49" fontId="7" fillId="8" borderId="3" xfId="0" applyNumberFormat="1" applyFont="1" applyFill="1" applyBorder="1" applyAlignment="1" applyProtection="1">
      <alignment horizontal="center"/>
      <protection locked="0"/>
    </xf>
    <xf numFmtId="49" fontId="7" fillId="8" borderId="14" xfId="0" applyNumberFormat="1" applyFont="1" applyFill="1" applyBorder="1" applyAlignment="1" applyProtection="1">
      <alignment horizontal="center"/>
      <protection locked="0"/>
    </xf>
    <xf numFmtId="49" fontId="7" fillId="8" borderId="48" xfId="0" applyNumberFormat="1" applyFont="1" applyFill="1" applyBorder="1" applyAlignment="1" applyProtection="1">
      <alignment horizontal="center"/>
      <protection locked="0"/>
    </xf>
    <xf numFmtId="49" fontId="7" fillId="8" borderId="49" xfId="0" applyNumberFormat="1" applyFont="1" applyFill="1" applyBorder="1" applyAlignment="1" applyProtection="1">
      <alignment horizontal="center"/>
      <protection locked="0"/>
    </xf>
    <xf numFmtId="49" fontId="7" fillId="8" borderId="17" xfId="0" applyNumberFormat="1" applyFont="1" applyFill="1" applyBorder="1" applyAlignment="1" applyProtection="1">
      <alignment horizontal="center"/>
      <protection locked="0"/>
    </xf>
    <xf numFmtId="49" fontId="7" fillId="8" borderId="5" xfId="0" applyNumberFormat="1" applyFont="1" applyFill="1" applyBorder="1" applyAlignment="1" applyProtection="1">
      <alignment horizontal="center"/>
      <protection locked="0"/>
    </xf>
    <xf numFmtId="49" fontId="7" fillId="8" borderId="1" xfId="0" applyNumberFormat="1" applyFont="1" applyFill="1" applyBorder="1" applyAlignment="1" applyProtection="1">
      <alignment horizontal="center"/>
      <protection locked="0"/>
    </xf>
    <xf numFmtId="0" fontId="23" fillId="8" borderId="50" xfId="0" applyFont="1" applyFill="1" applyBorder="1" applyAlignment="1" applyProtection="1">
      <alignment horizontal="center"/>
      <protection locked="0"/>
    </xf>
    <xf numFmtId="0" fontId="23" fillId="8" borderId="51" xfId="0" applyFont="1" applyFill="1" applyBorder="1" applyAlignment="1" applyProtection="1">
      <alignment horizontal="center"/>
      <protection locked="0"/>
    </xf>
    <xf numFmtId="49" fontId="7" fillId="8" borderId="13" xfId="0" applyNumberFormat="1" applyFont="1" applyFill="1" applyBorder="1" applyAlignment="1" applyProtection="1">
      <alignment horizontal="center"/>
      <protection locked="0"/>
    </xf>
    <xf numFmtId="0" fontId="23" fillId="8" borderId="44" xfId="0" applyFont="1" applyFill="1" applyBorder="1" applyAlignment="1" applyProtection="1">
      <alignment horizontal="center"/>
      <protection locked="0"/>
    </xf>
    <xf numFmtId="49" fontId="7" fillId="8" borderId="50" xfId="0" applyNumberFormat="1" applyFont="1" applyFill="1" applyBorder="1" applyAlignment="1" applyProtection="1">
      <alignment horizontal="center"/>
      <protection locked="0"/>
    </xf>
    <xf numFmtId="0" fontId="23" fillId="8" borderId="31" xfId="0" applyFont="1" applyFill="1" applyBorder="1" applyAlignment="1" applyProtection="1">
      <alignment horizontal="center"/>
      <protection locked="0"/>
    </xf>
    <xf numFmtId="0" fontId="23" fillId="8" borderId="31" xfId="0" applyFont="1" applyFill="1" applyBorder="1" applyAlignment="1" applyProtection="1">
      <alignment horizontal="center" vertical="top"/>
      <protection locked="0"/>
    </xf>
    <xf numFmtId="49" fontId="7" fillId="8" borderId="1" xfId="0" applyNumberFormat="1" applyFont="1" applyFill="1" applyBorder="1" applyAlignment="1" applyProtection="1">
      <alignment horizontal="center" vertical="top"/>
      <protection locked="0"/>
    </xf>
    <xf numFmtId="49" fontId="7" fillId="8" borderId="31" xfId="0" applyNumberFormat="1" applyFont="1" applyFill="1" applyBorder="1" applyAlignment="1" applyProtection="1">
      <alignment horizontal="center"/>
      <protection locked="0"/>
    </xf>
    <xf numFmtId="49" fontId="7" fillId="8" borderId="51" xfId="0" applyNumberFormat="1" applyFont="1" applyFill="1" applyBorder="1" applyAlignment="1" applyProtection="1">
      <alignment horizontal="center"/>
      <protection locked="0"/>
    </xf>
    <xf numFmtId="49" fontId="7" fillId="8" borderId="32" xfId="0" applyNumberFormat="1" applyFont="1" applyFill="1" applyBorder="1" applyAlignment="1" applyProtection="1">
      <alignment horizontal="center" vertical="top"/>
      <protection locked="0"/>
    </xf>
    <xf numFmtId="0" fontId="23" fillId="8" borderId="22" xfId="0" applyFont="1" applyFill="1" applyBorder="1" applyAlignment="1" applyProtection="1">
      <alignment horizontal="center" vertical="top"/>
      <protection locked="0"/>
    </xf>
    <xf numFmtId="49" fontId="7" fillId="8" borderId="15" xfId="0" applyNumberFormat="1" applyFont="1" applyFill="1" applyBorder="1" applyAlignment="1" applyProtection="1">
      <alignment horizontal="center" vertical="top"/>
      <protection locked="0"/>
    </xf>
    <xf numFmtId="0" fontId="23" fillId="8" borderId="51" xfId="0" applyFont="1" applyFill="1" applyBorder="1" applyAlignment="1" applyProtection="1">
      <alignment horizontal="center" vertical="top"/>
      <protection locked="0"/>
    </xf>
    <xf numFmtId="49" fontId="7" fillId="8" borderId="13" xfId="0" applyNumberFormat="1" applyFont="1" applyFill="1" applyBorder="1" applyAlignment="1" applyProtection="1">
      <alignment horizontal="center" vertical="top"/>
      <protection locked="0"/>
    </xf>
    <xf numFmtId="0" fontId="23" fillId="8" borderId="55" xfId="0" applyFont="1" applyFill="1" applyBorder="1" applyAlignment="1" applyProtection="1">
      <alignment horizontal="center" vertical="top"/>
      <protection locked="0"/>
    </xf>
    <xf numFmtId="49" fontId="7" fillId="8" borderId="31" xfId="0" applyNumberFormat="1" applyFont="1" applyFill="1" applyBorder="1" applyAlignment="1" applyProtection="1">
      <alignment horizontal="center" vertical="top"/>
      <protection locked="0"/>
    </xf>
    <xf numFmtId="0" fontId="23" fillId="8" borderId="56" xfId="0" applyFont="1" applyFill="1" applyBorder="1" applyAlignment="1" applyProtection="1">
      <alignment horizontal="center"/>
      <protection locked="0"/>
    </xf>
    <xf numFmtId="0" fontId="23" fillId="8" borderId="43" xfId="0" applyFont="1" applyFill="1" applyBorder="1" applyAlignment="1" applyProtection="1">
      <alignment horizontal="center"/>
      <protection locked="0"/>
    </xf>
    <xf numFmtId="49" fontId="61" fillId="8" borderId="15" xfId="0" applyNumberFormat="1" applyFont="1" applyFill="1" applyBorder="1" applyAlignment="1" applyProtection="1">
      <alignment horizontal="center"/>
      <protection locked="0"/>
    </xf>
    <xf numFmtId="49" fontId="61" fillId="8" borderId="33" xfId="0" applyNumberFormat="1" applyFont="1" applyFill="1" applyBorder="1" applyAlignment="1" applyProtection="1">
      <alignment horizontal="center"/>
      <protection locked="0"/>
    </xf>
    <xf numFmtId="165" fontId="7" fillId="8" borderId="32" xfId="0" applyNumberFormat="1" applyFont="1" applyFill="1" applyBorder="1" applyAlignment="1" applyProtection="1">
      <alignment horizontal="center"/>
      <protection locked="0"/>
    </xf>
    <xf numFmtId="165" fontId="7" fillId="8" borderId="33" xfId="0" applyNumberFormat="1" applyFont="1" applyFill="1" applyBorder="1" applyAlignment="1" applyProtection="1">
      <alignment horizontal="center"/>
      <protection locked="0"/>
    </xf>
    <xf numFmtId="0" fontId="23" fillId="8" borderId="57" xfId="0" applyFont="1" applyFill="1" applyBorder="1" applyAlignment="1" applyProtection="1">
      <alignment horizontal="center"/>
      <protection locked="0"/>
    </xf>
    <xf numFmtId="49" fontId="7" fillId="8" borderId="57" xfId="0" applyNumberFormat="1" applyFont="1" applyFill="1" applyBorder="1" applyAlignment="1" applyProtection="1">
      <alignment horizontal="center"/>
      <protection locked="0"/>
    </xf>
    <xf numFmtId="165" fontId="7" fillId="8" borderId="57" xfId="0" applyNumberFormat="1" applyFont="1" applyFill="1" applyBorder="1" applyAlignment="1" applyProtection="1">
      <alignment horizontal="center"/>
      <protection locked="0"/>
    </xf>
    <xf numFmtId="0" fontId="23" fillId="8" borderId="60" xfId="0" applyFont="1" applyFill="1" applyBorder="1" applyAlignment="1" applyProtection="1">
      <alignment horizontal="center"/>
      <protection locked="0"/>
    </xf>
    <xf numFmtId="165" fontId="7" fillId="8" borderId="60" xfId="0" applyNumberFormat="1" applyFont="1" applyFill="1" applyBorder="1" applyAlignment="1" applyProtection="1">
      <alignment horizontal="center"/>
      <protection locked="0"/>
    </xf>
    <xf numFmtId="0" fontId="65" fillId="8" borderId="15" xfId="0" applyFont="1" applyFill="1" applyBorder="1" applyAlignment="1" applyProtection="1">
      <alignment horizontal="center"/>
      <protection locked="0"/>
    </xf>
    <xf numFmtId="165" fontId="7" fillId="8" borderId="15" xfId="0" applyNumberFormat="1" applyFont="1" applyFill="1" applyBorder="1" applyAlignment="1" applyProtection="1">
      <alignment horizontal="center"/>
      <protection locked="0"/>
    </xf>
    <xf numFmtId="165" fontId="7" fillId="8" borderId="32" xfId="0" applyNumberFormat="1" applyFont="1" applyFill="1" applyBorder="1" applyAlignment="1" applyProtection="1">
      <alignment horizontal="center" wrapText="1"/>
      <protection locked="0"/>
    </xf>
    <xf numFmtId="0" fontId="23" fillId="8" borderId="37" xfId="0" applyFont="1" applyFill="1" applyBorder="1" applyAlignment="1" applyProtection="1">
      <alignment horizontal="center" wrapText="1"/>
      <protection locked="0"/>
    </xf>
    <xf numFmtId="165" fontId="7" fillId="8" borderId="15" xfId="0" applyNumberFormat="1" applyFont="1" applyFill="1" applyBorder="1" applyAlignment="1" applyProtection="1">
      <alignment horizontal="center" wrapText="1"/>
      <protection locked="0"/>
    </xf>
    <xf numFmtId="0" fontId="23" fillId="8" borderId="32" xfId="0" applyFont="1" applyFill="1" applyBorder="1" applyAlignment="1" applyProtection="1">
      <alignment horizontal="center" wrapText="1"/>
      <protection locked="0"/>
    </xf>
    <xf numFmtId="0" fontId="23" fillId="8" borderId="15" xfId="0" applyFont="1" applyFill="1" applyBorder="1" applyAlignment="1" applyProtection="1">
      <alignment horizontal="center" wrapText="1"/>
      <protection locked="0"/>
    </xf>
    <xf numFmtId="2" fontId="19" fillId="8" borderId="32" xfId="0" applyNumberFormat="1" applyFont="1" applyFill="1" applyBorder="1" applyAlignment="1" applyProtection="1">
      <alignment horizontal="right"/>
      <protection locked="0"/>
    </xf>
    <xf numFmtId="2" fontId="19" fillId="8" borderId="33" xfId="0" applyNumberFormat="1" applyFont="1" applyFill="1" applyBorder="1" applyAlignment="1" applyProtection="1">
      <alignment horizontal="right"/>
      <protection locked="0"/>
    </xf>
    <xf numFmtId="2" fontId="19" fillId="8" borderId="15" xfId="0" applyNumberFormat="1" applyFont="1" applyFill="1" applyBorder="1" applyAlignment="1" applyProtection="1">
      <alignment horizontal="right"/>
      <protection locked="0"/>
    </xf>
    <xf numFmtId="2" fontId="19" fillId="8" borderId="17" xfId="0" applyNumberFormat="1" applyFont="1" applyFill="1" applyBorder="1" applyAlignment="1" applyProtection="1">
      <alignment horizontal="right"/>
      <protection locked="0"/>
    </xf>
    <xf numFmtId="2" fontId="19" fillId="8" borderId="14" xfId="0" applyNumberFormat="1" applyFont="1" applyFill="1" applyBorder="1" applyAlignment="1" applyProtection="1">
      <alignment horizontal="right"/>
      <protection locked="0"/>
    </xf>
    <xf numFmtId="2" fontId="19" fillId="8" borderId="3" xfId="0" applyNumberFormat="1" applyFont="1" applyFill="1" applyBorder="1" applyAlignment="1" applyProtection="1">
      <alignment horizontal="right"/>
      <protection locked="0"/>
    </xf>
    <xf numFmtId="2" fontId="19" fillId="8" borderId="0" xfId="0" applyNumberFormat="1" applyFont="1" applyFill="1" applyAlignment="1" applyProtection="1">
      <alignment horizontal="right"/>
      <protection locked="0"/>
    </xf>
    <xf numFmtId="2" fontId="19" fillId="8" borderId="2" xfId="0" applyNumberFormat="1" applyFont="1" applyFill="1" applyBorder="1" applyAlignment="1" applyProtection="1">
      <alignment horizontal="right"/>
      <protection locked="0"/>
    </xf>
    <xf numFmtId="2" fontId="19" fillId="8" borderId="16" xfId="0" applyNumberFormat="1" applyFont="1" applyFill="1" applyBorder="1" applyAlignment="1" applyProtection="1">
      <alignment horizontal="right"/>
      <protection locked="0"/>
    </xf>
    <xf numFmtId="2" fontId="19" fillId="8" borderId="2" xfId="0" applyNumberFormat="1" applyFont="1" applyFill="1" applyBorder="1" applyAlignment="1" applyProtection="1">
      <alignment horizontal="right" vertical="top"/>
      <protection locked="0"/>
    </xf>
    <xf numFmtId="2" fontId="59" fillId="8" borderId="16" xfId="0" applyNumberFormat="1" applyFont="1" applyFill="1" applyBorder="1" applyAlignment="1" applyProtection="1">
      <alignment horizontal="right"/>
      <protection locked="0"/>
    </xf>
    <xf numFmtId="2" fontId="19" fillId="8" borderId="11" xfId="0" applyNumberFormat="1" applyFont="1" applyFill="1" applyBorder="1" applyAlignment="1" applyProtection="1">
      <alignment horizontal="right"/>
      <protection locked="0"/>
    </xf>
    <xf numFmtId="2" fontId="19" fillId="8" borderId="12" xfId="0" applyNumberFormat="1" applyFont="1" applyFill="1" applyBorder="1" applyAlignment="1" applyProtection="1">
      <alignment horizontal="right"/>
      <protection locked="0"/>
    </xf>
    <xf numFmtId="2" fontId="19" fillId="8" borderId="0" xfId="0" applyNumberFormat="1" applyFont="1" applyFill="1" applyAlignment="1" applyProtection="1">
      <alignment horizontal="right" vertical="top"/>
      <protection locked="0"/>
    </xf>
    <xf numFmtId="44" fontId="59" fillId="8" borderId="23" xfId="0" applyNumberFormat="1" applyFont="1" applyFill="1" applyBorder="1" applyAlignment="1" applyProtection="1">
      <alignment horizontal="center"/>
      <protection locked="0"/>
    </xf>
    <xf numFmtId="44" fontId="19" fillId="8" borderId="1" xfId="0" applyNumberFormat="1" applyFont="1" applyFill="1" applyBorder="1" applyAlignment="1" applyProtection="1">
      <alignment horizontal="center"/>
      <protection locked="0"/>
    </xf>
    <xf numFmtId="44" fontId="19" fillId="8" borderId="58" xfId="0" applyNumberFormat="1" applyFont="1" applyFill="1" applyBorder="1" applyAlignment="1" applyProtection="1">
      <alignment horizontal="center"/>
      <protection locked="0"/>
    </xf>
    <xf numFmtId="44" fontId="19" fillId="8" borderId="61" xfId="0" applyNumberFormat="1" applyFont="1" applyFill="1" applyBorder="1" applyAlignment="1" applyProtection="1">
      <alignment horizontal="center"/>
      <protection locked="0"/>
    </xf>
    <xf numFmtId="44" fontId="59" fillId="8" borderId="33" xfId="0" applyNumberFormat="1" applyFont="1" applyFill="1" applyBorder="1" applyAlignment="1" applyProtection="1">
      <alignment horizontal="center"/>
      <protection locked="0"/>
    </xf>
    <xf numFmtId="44" fontId="59" fillId="8" borderId="15" xfId="0" applyNumberFormat="1" applyFont="1" applyFill="1" applyBorder="1" applyAlignment="1" applyProtection="1">
      <alignment horizontal="center"/>
      <protection locked="0"/>
    </xf>
    <xf numFmtId="0" fontId="23" fillId="8" borderId="0" xfId="0" applyFont="1" applyFill="1" applyAlignment="1" applyProtection="1">
      <alignment horizontal="center"/>
      <protection locked="0"/>
    </xf>
    <xf numFmtId="0" fontId="23" fillId="8" borderId="31" xfId="0" applyFont="1" applyFill="1" applyBorder="1" applyAlignment="1" applyProtection="1">
      <alignment horizontal="center" wrapText="1"/>
      <protection locked="0"/>
    </xf>
    <xf numFmtId="0" fontId="23" fillId="8" borderId="64" xfId="0" applyFont="1" applyFill="1" applyBorder="1" applyAlignment="1" applyProtection="1">
      <alignment horizontal="center" wrapText="1"/>
      <protection locked="0"/>
    </xf>
    <xf numFmtId="0" fontId="44" fillId="8" borderId="23" xfId="0" applyFont="1" applyFill="1" applyBorder="1" applyAlignment="1" applyProtection="1">
      <alignment horizontal="center"/>
      <protection locked="0"/>
    </xf>
    <xf numFmtId="2" fontId="19" fillId="8" borderId="32" xfId="0" applyNumberFormat="1" applyFont="1" applyFill="1" applyBorder="1" applyAlignment="1" applyProtection="1">
      <alignment horizontal="center"/>
      <protection locked="0"/>
    </xf>
    <xf numFmtId="2" fontId="19" fillId="8" borderId="15" xfId="0" applyNumberFormat="1" applyFont="1" applyFill="1" applyBorder="1" applyAlignment="1" applyProtection="1">
      <alignment horizontal="center"/>
      <protection locked="0"/>
    </xf>
    <xf numFmtId="2" fontId="19" fillId="8" borderId="33" xfId="0" applyNumberFormat="1" applyFont="1" applyFill="1" applyBorder="1" applyAlignment="1" applyProtection="1">
      <alignment horizontal="center"/>
      <protection locked="0"/>
    </xf>
    <xf numFmtId="165" fontId="7" fillId="8" borderId="12" xfId="0" applyNumberFormat="1" applyFont="1" applyFill="1" applyBorder="1" applyAlignment="1" applyProtection="1">
      <alignment horizontal="center"/>
      <protection locked="0"/>
    </xf>
    <xf numFmtId="165" fontId="7" fillId="8" borderId="21" xfId="0" applyNumberFormat="1" applyFont="1" applyFill="1" applyBorder="1" applyAlignment="1" applyProtection="1">
      <alignment horizontal="center"/>
      <protection locked="0"/>
    </xf>
    <xf numFmtId="165" fontId="7" fillId="8" borderId="23" xfId="0" applyNumberFormat="1" applyFont="1" applyFill="1" applyBorder="1" applyAlignment="1" applyProtection="1">
      <alignment horizontal="center"/>
      <protection locked="0"/>
    </xf>
    <xf numFmtId="0" fontId="23" fillId="8" borderId="12" xfId="0" applyFont="1" applyFill="1" applyBorder="1" applyAlignment="1" applyProtection="1">
      <alignment horizontal="center" vertical="center"/>
      <protection locked="0"/>
    </xf>
    <xf numFmtId="165" fontId="7" fillId="8" borderId="12" xfId="0" applyNumberFormat="1" applyFont="1" applyFill="1" applyBorder="1" applyAlignment="1" applyProtection="1">
      <alignment horizontal="center" vertical="center"/>
      <protection locked="0"/>
    </xf>
    <xf numFmtId="0" fontId="67" fillId="8" borderId="0" xfId="0" applyFont="1" applyFill="1" applyProtection="1">
      <protection locked="0"/>
    </xf>
    <xf numFmtId="165" fontId="7" fillId="8" borderId="3" xfId="0" applyNumberFormat="1" applyFont="1" applyFill="1" applyBorder="1" applyAlignment="1" applyProtection="1">
      <alignment horizontal="center"/>
      <protection locked="0"/>
    </xf>
    <xf numFmtId="165" fontId="7" fillId="8" borderId="17" xfId="0" applyNumberFormat="1" applyFont="1" applyFill="1" applyBorder="1" applyAlignment="1" applyProtection="1">
      <alignment horizontal="center"/>
      <protection locked="0"/>
    </xf>
    <xf numFmtId="165" fontId="7" fillId="8" borderId="14" xfId="0" applyNumberFormat="1" applyFont="1" applyFill="1" applyBorder="1" applyAlignment="1" applyProtection="1">
      <alignment horizontal="center"/>
      <protection locked="0"/>
    </xf>
    <xf numFmtId="165" fontId="7" fillId="8" borderId="33" xfId="0" applyNumberFormat="1" applyFont="1" applyFill="1" applyBorder="1" applyAlignment="1" applyProtection="1">
      <alignment horizontal="center" wrapText="1"/>
      <protection locked="0"/>
    </xf>
    <xf numFmtId="2" fontId="60" fillId="8" borderId="32" xfId="0" applyNumberFormat="1" applyFont="1" applyFill="1" applyBorder="1" applyAlignment="1" applyProtection="1">
      <alignment horizontal="right"/>
      <protection locked="0"/>
    </xf>
    <xf numFmtId="2" fontId="19" fillId="8" borderId="19" xfId="0" applyNumberFormat="1" applyFont="1" applyFill="1" applyBorder="1" applyAlignment="1" applyProtection="1">
      <alignment horizontal="right"/>
      <protection locked="0"/>
    </xf>
    <xf numFmtId="2" fontId="19" fillId="8" borderId="0" xfId="0" applyNumberFormat="1" applyFont="1" applyFill="1" applyAlignment="1" applyProtection="1">
      <alignment horizontal="right" vertical="center"/>
      <protection locked="0"/>
    </xf>
    <xf numFmtId="0" fontId="7" fillId="8" borderId="32" xfId="0" applyFont="1" applyFill="1" applyBorder="1" applyAlignment="1" applyProtection="1">
      <alignment horizontal="center"/>
      <protection locked="0"/>
    </xf>
    <xf numFmtId="0" fontId="7" fillId="8" borderId="15" xfId="0" applyFont="1" applyFill="1" applyBorder="1" applyAlignment="1" applyProtection="1">
      <alignment horizontal="center"/>
      <protection locked="0"/>
    </xf>
    <xf numFmtId="0" fontId="65" fillId="8" borderId="47" xfId="0" applyFont="1" applyFill="1" applyBorder="1" applyAlignment="1" applyProtection="1">
      <alignment horizontal="center"/>
      <protection locked="0"/>
    </xf>
    <xf numFmtId="0" fontId="23" fillId="8" borderId="44" xfId="0" applyFont="1" applyFill="1" applyBorder="1" applyAlignment="1" applyProtection="1">
      <alignment horizontal="center" wrapText="1"/>
      <protection locked="0"/>
    </xf>
    <xf numFmtId="0" fontId="23" fillId="8" borderId="22" xfId="0" applyFont="1" applyFill="1" applyBorder="1" applyAlignment="1" applyProtection="1">
      <alignment horizontal="center" wrapText="1"/>
      <protection locked="0"/>
    </xf>
    <xf numFmtId="0" fontId="23" fillId="8" borderId="23" xfId="0" applyFont="1" applyFill="1" applyBorder="1" applyAlignment="1" applyProtection="1">
      <alignment horizontal="center" wrapText="1"/>
      <protection locked="0"/>
    </xf>
    <xf numFmtId="0" fontId="44" fillId="8" borderId="32" xfId="0" applyFont="1" applyFill="1" applyBorder="1" applyAlignment="1" applyProtection="1">
      <alignment vertical="top" wrapText="1"/>
      <protection locked="0"/>
    </xf>
    <xf numFmtId="0" fontId="44" fillId="8" borderId="33" xfId="0" applyFont="1" applyFill="1" applyBorder="1" applyAlignment="1" applyProtection="1">
      <alignment vertical="top" wrapText="1"/>
      <protection locked="0"/>
    </xf>
    <xf numFmtId="0" fontId="23" fillId="8" borderId="33" xfId="0" applyFont="1" applyFill="1" applyBorder="1" applyAlignment="1" applyProtection="1">
      <alignment horizontal="center" wrapText="1"/>
      <protection locked="0"/>
    </xf>
    <xf numFmtId="165" fontId="7" fillId="8" borderId="1" xfId="0" applyNumberFormat="1" applyFont="1" applyFill="1" applyBorder="1" applyAlignment="1" applyProtection="1">
      <alignment horizontal="center"/>
      <protection locked="0"/>
    </xf>
    <xf numFmtId="165" fontId="7" fillId="8" borderId="5" xfId="0" applyNumberFormat="1" applyFont="1" applyFill="1" applyBorder="1" applyAlignment="1" applyProtection="1">
      <alignment horizontal="center"/>
      <protection locked="0"/>
    </xf>
    <xf numFmtId="165" fontId="7" fillId="8" borderId="13" xfId="0" applyNumberFormat="1" applyFont="1" applyFill="1" applyBorder="1" applyAlignment="1" applyProtection="1">
      <alignment horizontal="center"/>
      <protection locked="0"/>
    </xf>
    <xf numFmtId="44" fontId="19" fillId="8" borderId="21" xfId="0" applyNumberFormat="1" applyFont="1" applyFill="1" applyBorder="1" applyProtection="1">
      <protection locked="0"/>
    </xf>
    <xf numFmtId="44" fontId="19" fillId="8" borderId="22" xfId="0" applyNumberFormat="1" applyFont="1" applyFill="1" applyBorder="1" applyProtection="1">
      <protection locked="0"/>
    </xf>
    <xf numFmtId="0" fontId="44" fillId="8" borderId="1" xfId="0" applyFont="1" applyFill="1" applyBorder="1" applyAlignment="1" applyProtection="1">
      <alignment vertical="top" wrapText="1"/>
      <protection locked="0"/>
    </xf>
    <xf numFmtId="0" fontId="44" fillId="8" borderId="5" xfId="0" applyFont="1" applyFill="1" applyBorder="1" applyAlignment="1" applyProtection="1">
      <alignment vertical="top" wrapText="1"/>
      <protection locked="0"/>
    </xf>
    <xf numFmtId="44" fontId="19" fillId="8" borderId="5" xfId="0" applyNumberFormat="1" applyFont="1" applyFill="1" applyBorder="1" applyAlignment="1" applyProtection="1">
      <alignment horizontal="center"/>
      <protection locked="0"/>
    </xf>
    <xf numFmtId="44" fontId="19" fillId="8" borderId="13" xfId="0" applyNumberFormat="1" applyFont="1" applyFill="1" applyBorder="1" applyAlignment="1" applyProtection="1">
      <alignment horizontal="center"/>
      <protection locked="0"/>
    </xf>
    <xf numFmtId="0" fontId="23" fillId="8" borderId="68" xfId="0" applyFont="1" applyFill="1" applyBorder="1" applyAlignment="1" applyProtection="1">
      <alignment horizontal="center"/>
      <protection locked="0"/>
    </xf>
    <xf numFmtId="0" fontId="23" fillId="8" borderId="71" xfId="0" applyFont="1" applyFill="1" applyBorder="1" applyAlignment="1" applyProtection="1">
      <alignment horizontal="center"/>
      <protection locked="0"/>
    </xf>
    <xf numFmtId="165" fontId="7" fillId="8" borderId="70" xfId="0" applyNumberFormat="1" applyFont="1" applyFill="1" applyBorder="1" applyAlignment="1" applyProtection="1">
      <alignment horizontal="center"/>
      <protection locked="0"/>
    </xf>
    <xf numFmtId="165" fontId="7" fillId="8" borderId="36" xfId="0" applyNumberFormat="1" applyFont="1" applyFill="1" applyBorder="1" applyAlignment="1" applyProtection="1">
      <alignment horizontal="center"/>
      <protection locked="0"/>
    </xf>
    <xf numFmtId="44" fontId="19" fillId="8" borderId="68" xfId="0" applyNumberFormat="1" applyFont="1" applyFill="1" applyBorder="1" applyAlignment="1" applyProtection="1">
      <alignment horizontal="center"/>
      <protection locked="0"/>
    </xf>
    <xf numFmtId="44" fontId="19" fillId="8" borderId="71" xfId="0" applyNumberFormat="1" applyFont="1" applyFill="1" applyBorder="1" applyAlignment="1" applyProtection="1">
      <alignment horizontal="center"/>
      <protection locked="0"/>
    </xf>
    <xf numFmtId="0" fontId="23" fillId="8" borderId="3" xfId="0" applyFont="1" applyFill="1" applyBorder="1" applyAlignment="1" applyProtection="1">
      <alignment horizontal="center"/>
      <protection locked="0"/>
    </xf>
    <xf numFmtId="0" fontId="23" fillId="8" borderId="14" xfId="0" applyFont="1" applyFill="1" applyBorder="1" applyAlignment="1" applyProtection="1">
      <alignment horizontal="center"/>
      <protection locked="0"/>
    </xf>
    <xf numFmtId="49" fontId="70" fillId="8" borderId="15" xfId="0" applyNumberFormat="1" applyFont="1" applyFill="1" applyBorder="1" applyAlignment="1" applyProtection="1">
      <alignment horizontal="center" wrapText="1"/>
      <protection locked="0"/>
    </xf>
    <xf numFmtId="49" fontId="71" fillId="8" borderId="15" xfId="0" applyNumberFormat="1" applyFont="1" applyFill="1" applyBorder="1" applyAlignment="1" applyProtection="1">
      <alignment horizontal="center"/>
      <protection locked="0"/>
    </xf>
    <xf numFmtId="16" fontId="23" fillId="8" borderId="32" xfId="0" applyNumberFormat="1" applyFont="1" applyFill="1" applyBorder="1" applyAlignment="1" applyProtection="1">
      <alignment horizontal="center"/>
      <protection locked="0"/>
    </xf>
    <xf numFmtId="16" fontId="23" fillId="8" borderId="33" xfId="0" applyNumberFormat="1" applyFont="1" applyFill="1" applyBorder="1" applyAlignment="1" applyProtection="1">
      <alignment horizontal="center"/>
      <protection locked="0"/>
    </xf>
    <xf numFmtId="0" fontId="65" fillId="8" borderId="22" xfId="0" applyFont="1" applyFill="1" applyBorder="1" applyAlignment="1" applyProtection="1">
      <alignment horizontal="center"/>
      <protection locked="0"/>
    </xf>
    <xf numFmtId="0" fontId="44" fillId="0" borderId="12" xfId="0" applyFont="1" applyBorder="1" applyAlignment="1" applyProtection="1">
      <alignment horizontal="right" vertical="center"/>
      <protection locked="0"/>
    </xf>
    <xf numFmtId="44" fontId="44" fillId="2" borderId="12" xfId="0" applyNumberFormat="1" applyFont="1" applyFill="1" applyBorder="1" applyAlignment="1" applyProtection="1">
      <alignment vertical="center"/>
      <protection locked="0"/>
    </xf>
    <xf numFmtId="0" fontId="93" fillId="0" borderId="4" xfId="0" applyFont="1" applyBorder="1" applyAlignment="1"/>
    <xf numFmtId="0" fontId="14" fillId="0" borderId="55" xfId="0" applyFont="1" applyBorder="1" applyAlignment="1">
      <alignment horizontal="center"/>
    </xf>
    <xf numFmtId="0" fontId="15" fillId="0" borderId="55" xfId="0" applyFont="1" applyBorder="1"/>
    <xf numFmtId="0" fontId="15" fillId="0" borderId="48" xfId="0" applyFont="1" applyBorder="1"/>
    <xf numFmtId="0" fontId="17" fillId="0" borderId="64" xfId="0" applyFont="1" applyBorder="1" applyAlignment="1" applyProtection="1">
      <alignment horizontal="center"/>
    </xf>
    <xf numFmtId="0" fontId="0" fillId="0" borderId="54" xfId="0" applyFont="1" applyBorder="1" applyAlignment="1" applyProtection="1"/>
    <xf numFmtId="0" fontId="32" fillId="2" borderId="54" xfId="0" applyFont="1" applyFill="1" applyBorder="1" applyAlignment="1" applyProtection="1">
      <alignment horizontal="right" vertical="center"/>
    </xf>
    <xf numFmtId="0" fontId="31" fillId="0" borderId="38" xfId="0" applyFont="1" applyBorder="1" applyProtection="1">
      <protection locked="0"/>
    </xf>
    <xf numFmtId="0" fontId="15" fillId="0" borderId="38" xfId="0" applyFont="1" applyBorder="1" applyProtection="1">
      <protection locked="0"/>
    </xf>
    <xf numFmtId="0" fontId="15" fillId="0" borderId="11" xfId="0" applyFont="1" applyBorder="1" applyProtection="1">
      <protection locked="0"/>
    </xf>
    <xf numFmtId="0" fontId="32" fillId="0" borderId="54" xfId="0" applyFont="1" applyBorder="1" applyAlignment="1" applyProtection="1">
      <alignment horizontal="right" vertical="center" wrapText="1"/>
    </xf>
    <xf numFmtId="0" fontId="37" fillId="2" borderId="38" xfId="0" applyFont="1" applyFill="1" applyBorder="1" applyAlignment="1" applyProtection="1">
      <alignment horizontal="left"/>
      <protection locked="0"/>
    </xf>
    <xf numFmtId="165" fontId="22" fillId="2" borderId="56" xfId="0" applyNumberFormat="1" applyFont="1" applyFill="1" applyBorder="1" applyAlignment="1" applyProtection="1">
      <alignment horizontal="left" vertical="top"/>
      <protection locked="0"/>
    </xf>
    <xf numFmtId="0" fontId="15" fillId="0" borderId="56" xfId="0" applyFont="1" applyBorder="1" applyProtection="1">
      <protection locked="0"/>
    </xf>
    <xf numFmtId="0" fontId="15" fillId="0" borderId="44" xfId="0" applyFont="1" applyBorder="1" applyProtection="1">
      <protection locked="0"/>
    </xf>
    <xf numFmtId="0" fontId="30" fillId="0" borderId="54" xfId="0" applyFont="1" applyBorder="1" applyAlignment="1">
      <alignment wrapText="1"/>
    </xf>
    <xf numFmtId="0" fontId="0" fillId="0" borderId="54" xfId="0" applyFont="1" applyBorder="1" applyAlignment="1"/>
    <xf numFmtId="0" fontId="15" fillId="0" borderId="49" xfId="0" applyFont="1" applyBorder="1"/>
    <xf numFmtId="0" fontId="10" fillId="0" borderId="54" xfId="0" applyFont="1" applyBorder="1" applyAlignment="1" applyProtection="1">
      <alignment horizontal="left" wrapText="1"/>
    </xf>
    <xf numFmtId="0" fontId="15" fillId="0" borderId="49" xfId="0" applyFont="1" applyBorder="1" applyProtection="1"/>
    <xf numFmtId="0" fontId="31" fillId="0" borderId="56" xfId="0" applyFont="1" applyBorder="1" applyProtection="1">
      <protection locked="0"/>
    </xf>
    <xf numFmtId="0" fontId="92" fillId="0" borderId="0" xfId="0" applyFont="1" applyAlignment="1" applyProtection="1">
      <alignment horizontal="left"/>
      <protection locked="0"/>
    </xf>
    <xf numFmtId="0" fontId="0" fillId="0" borderId="0" xfId="0" applyFont="1" applyAlignment="1" applyProtection="1">
      <protection locked="0"/>
    </xf>
    <xf numFmtId="0" fontId="4" fillId="0" borderId="0" xfId="0" applyFont="1" applyAlignment="1" applyProtection="1">
      <alignment horizontal="center"/>
    </xf>
    <xf numFmtId="0" fontId="0" fillId="0" borderId="0" xfId="0" applyFont="1" applyAlignment="1" applyProtection="1"/>
    <xf numFmtId="0" fontId="10" fillId="0" borderId="0" xfId="0" applyFont="1" applyAlignment="1" applyProtection="1">
      <alignment horizontal="center"/>
      <protection locked="0"/>
    </xf>
    <xf numFmtId="0" fontId="9" fillId="0" borderId="0" xfId="0" applyFont="1" applyAlignment="1" applyProtection="1">
      <alignment horizontal="right"/>
    </xf>
    <xf numFmtId="0" fontId="2" fillId="0" borderId="0" xfId="0" applyFont="1" applyAlignment="1" applyProtection="1">
      <alignment horizontal="center"/>
    </xf>
    <xf numFmtId="0" fontId="4" fillId="2" borderId="0" xfId="0" applyFont="1" applyFill="1" applyAlignment="1" applyProtection="1">
      <alignment horizontal="center"/>
    </xf>
    <xf numFmtId="0" fontId="14" fillId="2" borderId="7" xfId="0" applyFont="1" applyFill="1" applyBorder="1" applyAlignment="1" applyProtection="1">
      <alignment horizontal="center" wrapText="1"/>
    </xf>
    <xf numFmtId="0" fontId="15" fillId="0" borderId="8" xfId="0" applyFont="1" applyBorder="1" applyProtection="1"/>
    <xf numFmtId="0" fontId="14" fillId="0" borderId="54" xfId="0" applyFont="1" applyBorder="1" applyAlignment="1" applyProtection="1">
      <alignment horizontal="right" wrapText="1"/>
    </xf>
    <xf numFmtId="0" fontId="14" fillId="0" borderId="54" xfId="0" applyFont="1" applyBorder="1" applyAlignment="1" applyProtection="1">
      <alignment horizontal="right"/>
    </xf>
    <xf numFmtId="166" fontId="13" fillId="2" borderId="10" xfId="0" applyNumberFormat="1" applyFont="1" applyFill="1" applyBorder="1" applyProtection="1"/>
    <xf numFmtId="0" fontId="15" fillId="0" borderId="11" xfId="0" applyFont="1" applyBorder="1" applyProtection="1"/>
    <xf numFmtId="166" fontId="13" fillId="2" borderId="51" xfId="0" applyNumberFormat="1" applyFont="1" applyFill="1" applyBorder="1" applyProtection="1"/>
    <xf numFmtId="0" fontId="15" fillId="0" borderId="44" xfId="0" applyFont="1" applyBorder="1" applyProtection="1"/>
    <xf numFmtId="0" fontId="14" fillId="0" borderId="54" xfId="0" quotePrefix="1" applyFont="1" applyBorder="1" applyAlignment="1" applyProtection="1">
      <alignment horizontal="right"/>
    </xf>
    <xf numFmtId="0" fontId="32" fillId="2" borderId="56" xfId="0" applyFont="1" applyFill="1" applyBorder="1" applyAlignment="1">
      <alignment horizontal="right" vertical="center"/>
    </xf>
    <xf numFmtId="0" fontId="15" fillId="0" borderId="56" xfId="0" applyFont="1" applyBorder="1"/>
    <xf numFmtId="0" fontId="36" fillId="0" borderId="38" xfId="0" applyFont="1" applyBorder="1" applyAlignment="1" applyProtection="1">
      <alignment horizontal="left" wrapText="1"/>
      <protection locked="0"/>
    </xf>
    <xf numFmtId="166" fontId="13" fillId="2" borderId="7" xfId="0" applyNumberFormat="1" applyFont="1" applyFill="1" applyBorder="1" applyProtection="1"/>
    <xf numFmtId="166" fontId="14" fillId="2" borderId="51" xfId="0" applyNumberFormat="1" applyFont="1" applyFill="1" applyBorder="1" applyProtection="1"/>
    <xf numFmtId="0" fontId="10" fillId="0" borderId="54" xfId="0" applyFont="1" applyBorder="1" applyAlignment="1" applyProtection="1">
      <alignment horizontal="right" wrapText="1"/>
    </xf>
    <xf numFmtId="0" fontId="36" fillId="0" borderId="54" xfId="0" applyFont="1" applyBorder="1" applyAlignment="1" applyProtection="1">
      <alignment horizontal="right" vertical="center" wrapText="1"/>
    </xf>
    <xf numFmtId="0" fontId="36" fillId="0" borderId="38" xfId="0" applyFont="1" applyBorder="1" applyAlignment="1" applyProtection="1">
      <alignment wrapText="1"/>
      <protection locked="0"/>
    </xf>
    <xf numFmtId="0" fontId="49" fillId="0" borderId="0" xfId="0" applyFont="1" applyAlignment="1">
      <alignment horizontal="center"/>
    </xf>
    <xf numFmtId="0" fontId="0" fillId="0" borderId="0" xfId="0" applyFont="1" applyAlignment="1"/>
    <xf numFmtId="0" fontId="28" fillId="0" borderId="18" xfId="0" applyFont="1" applyBorder="1" applyProtection="1">
      <protection locked="0"/>
    </xf>
    <xf numFmtId="0" fontId="15" fillId="0" borderId="18" xfId="0" applyFont="1" applyBorder="1" applyProtection="1">
      <protection locked="0"/>
    </xf>
    <xf numFmtId="0" fontId="49" fillId="0" borderId="27" xfId="0" applyFont="1" applyBorder="1" applyAlignment="1">
      <alignment horizontal="center" vertical="top"/>
    </xf>
    <xf numFmtId="0" fontId="15" fillId="0" borderId="27" xfId="0" applyFont="1" applyBorder="1"/>
    <xf numFmtId="0" fontId="49" fillId="0" borderId="27" xfId="0" applyFont="1" applyBorder="1" applyAlignment="1">
      <alignment horizontal="center"/>
    </xf>
    <xf numFmtId="0" fontId="15" fillId="0" borderId="28" xfId="0" applyFont="1" applyBorder="1"/>
    <xf numFmtId="3" fontId="51" fillId="0" borderId="20" xfId="0" applyNumberFormat="1" applyFont="1" applyBorder="1" applyAlignment="1">
      <alignment horizontal="center"/>
    </xf>
    <xf numFmtId="0" fontId="15" fillId="0" borderId="25" xfId="0" applyFont="1" applyBorder="1"/>
    <xf numFmtId="0" fontId="49" fillId="8" borderId="27" xfId="0" applyFont="1" applyFill="1" applyBorder="1" applyAlignment="1">
      <alignment horizontal="center"/>
    </xf>
    <xf numFmtId="166" fontId="50" fillId="8" borderId="20" xfId="0" applyNumberFormat="1" applyFont="1" applyFill="1" applyBorder="1" applyAlignment="1"/>
    <xf numFmtId="0" fontId="15" fillId="0" borderId="24" xfId="0" applyFont="1" applyBorder="1"/>
    <xf numFmtId="166" fontId="50" fillId="0" borderId="20" xfId="0" applyNumberFormat="1" applyFont="1" applyBorder="1" applyProtection="1">
      <protection locked="0"/>
    </xf>
    <xf numFmtId="0" fontId="15" fillId="0" borderId="25" xfId="0" applyFont="1" applyBorder="1" applyProtection="1">
      <protection locked="0"/>
    </xf>
    <xf numFmtId="166" fontId="50" fillId="2" borderId="20" xfId="0" applyNumberFormat="1" applyFont="1" applyFill="1" applyBorder="1" applyAlignment="1"/>
    <xf numFmtId="0" fontId="49" fillId="8" borderId="29" xfId="0" applyFont="1" applyFill="1" applyBorder="1" applyAlignment="1">
      <alignment horizontal="center"/>
    </xf>
    <xf numFmtId="0" fontId="50" fillId="0" borderId="20" xfId="0" applyFont="1" applyBorder="1" applyProtection="1">
      <protection locked="0"/>
    </xf>
    <xf numFmtId="166" fontId="50" fillId="0" borderId="20" xfId="0" applyNumberFormat="1" applyFont="1" applyBorder="1" applyAlignment="1" applyProtection="1">
      <protection locked="0"/>
    </xf>
    <xf numFmtId="0" fontId="15" fillId="0" borderId="18" xfId="0" applyFont="1" applyBorder="1"/>
    <xf numFmtId="0" fontId="15" fillId="0" borderId="30" xfId="0" applyFont="1" applyBorder="1"/>
    <xf numFmtId="0" fontId="51" fillId="0" borderId="20" xfId="0" applyFont="1" applyBorder="1" applyAlignment="1">
      <alignment horizontal="center"/>
    </xf>
    <xf numFmtId="0" fontId="50" fillId="0" borderId="20" xfId="0" applyFont="1" applyBorder="1" applyAlignment="1" applyProtection="1">
      <protection locked="0"/>
    </xf>
    <xf numFmtId="0" fontId="82" fillId="9" borderId="53" xfId="0" applyFont="1" applyFill="1" applyBorder="1" applyAlignment="1" applyProtection="1">
      <alignment horizontal="left" vertical="center"/>
    </xf>
    <xf numFmtId="0" fontId="81" fillId="0" borderId="55" xfId="0" applyFont="1" applyBorder="1" applyProtection="1"/>
    <xf numFmtId="0" fontId="81" fillId="0" borderId="48" xfId="0" applyFont="1" applyBorder="1" applyProtection="1"/>
    <xf numFmtId="0" fontId="80" fillId="0" borderId="51" xfId="0" applyFont="1" applyBorder="1" applyAlignment="1" applyProtection="1">
      <alignment horizontal="center" wrapText="1"/>
    </xf>
    <xf numFmtId="0" fontId="84" fillId="0" borderId="56" xfId="0" applyFont="1" applyBorder="1" applyProtection="1"/>
    <xf numFmtId="0" fontId="84" fillId="0" borderId="44" xfId="0" applyFont="1" applyBorder="1" applyProtection="1"/>
    <xf numFmtId="0" fontId="86" fillId="0" borderId="10" xfId="0" applyFont="1" applyBorder="1" applyAlignment="1" applyProtection="1">
      <alignment horizontal="right" vertical="center"/>
    </xf>
    <xf numFmtId="0" fontId="90" fillId="0" borderId="38" xfId="0" applyFont="1" applyBorder="1" applyProtection="1"/>
    <xf numFmtId="8" fontId="86" fillId="2" borderId="34" xfId="0" applyNumberFormat="1" applyFont="1" applyFill="1" applyBorder="1" applyAlignment="1" applyProtection="1">
      <alignment vertical="center"/>
    </xf>
    <xf numFmtId="0" fontId="90" fillId="0" borderId="11" xfId="0" applyFont="1" applyBorder="1" applyProtection="1"/>
    <xf numFmtId="0" fontId="88" fillId="0" borderId="0" xfId="0" applyFont="1" applyAlignment="1" applyProtection="1">
      <alignment horizontal="right"/>
    </xf>
    <xf numFmtId="0" fontId="86" fillId="0" borderId="0" xfId="0" applyFont="1" applyAlignment="1" applyProtection="1"/>
    <xf numFmtId="0" fontId="88" fillId="0" borderId="0" xfId="0" applyFont="1" applyAlignment="1" applyProtection="1"/>
    <xf numFmtId="0" fontId="79" fillId="0" borderId="32" xfId="0" applyFont="1" applyBorder="1" applyAlignment="1" applyProtection="1">
      <alignment horizontal="center" vertical="top" wrapText="1"/>
    </xf>
    <xf numFmtId="0" fontId="79" fillId="0" borderId="37" xfId="0" applyFont="1" applyBorder="1" applyAlignment="1" applyProtection="1">
      <alignment horizontal="center" vertical="top" wrapText="1"/>
    </xf>
    <xf numFmtId="0" fontId="79" fillId="0" borderId="22" xfId="0" applyFont="1" applyBorder="1" applyAlignment="1" applyProtection="1">
      <alignment horizontal="center" vertical="top" wrapText="1"/>
    </xf>
    <xf numFmtId="0" fontId="78" fillId="0" borderId="32" xfId="0" applyFont="1" applyBorder="1" applyAlignment="1" applyProtection="1">
      <alignment horizontal="center" wrapText="1"/>
    </xf>
    <xf numFmtId="0" fontId="78" fillId="0" borderId="37" xfId="0" applyFont="1" applyBorder="1" applyAlignment="1" applyProtection="1">
      <alignment horizontal="center" wrapText="1"/>
    </xf>
    <xf numFmtId="0" fontId="78" fillId="0" borderId="22" xfId="0" applyFont="1" applyBorder="1" applyAlignment="1" applyProtection="1">
      <alignment horizontal="center" wrapText="1"/>
    </xf>
    <xf numFmtId="0" fontId="83" fillId="2" borderId="32" xfId="0" applyFont="1" applyFill="1" applyBorder="1" applyAlignment="1" applyProtection="1">
      <alignment horizontal="center" vertical="center" wrapText="1"/>
    </xf>
    <xf numFmtId="0" fontId="83" fillId="2" borderId="37" xfId="0" applyFont="1" applyFill="1" applyBorder="1" applyAlignment="1" applyProtection="1">
      <alignment horizontal="center" vertical="center" wrapText="1"/>
    </xf>
    <xf numFmtId="0" fontId="83" fillId="2" borderId="22" xfId="0" applyFont="1" applyFill="1" applyBorder="1" applyAlignment="1" applyProtection="1">
      <alignment horizontal="center" vertical="center" wrapText="1"/>
    </xf>
    <xf numFmtId="0" fontId="91" fillId="2" borderId="32" xfId="0" applyFont="1" applyFill="1" applyBorder="1" applyAlignment="1" applyProtection="1">
      <alignment horizontal="center" vertical="center" wrapText="1"/>
    </xf>
    <xf numFmtId="0" fontId="91" fillId="2" borderId="37" xfId="0" applyFont="1" applyFill="1" applyBorder="1" applyAlignment="1" applyProtection="1">
      <alignment horizontal="center" vertical="center" wrapText="1"/>
    </xf>
    <xf numFmtId="0" fontId="91" fillId="2" borderId="22" xfId="0" applyFont="1" applyFill="1" applyBorder="1" applyAlignment="1" applyProtection="1">
      <alignment horizontal="center" vertical="center" wrapText="1"/>
    </xf>
    <xf numFmtId="0" fontId="86" fillId="0" borderId="0" xfId="0" applyFont="1" applyAlignment="1" applyProtection="1">
      <alignment horizontal="center"/>
    </xf>
    <xf numFmtId="0" fontId="77" fillId="0" borderId="0" xfId="0" applyFont="1" applyAlignment="1" applyProtection="1">
      <alignment horizontal="center"/>
    </xf>
    <xf numFmtId="0" fontId="76" fillId="0" borderId="0" xfId="0" applyFont="1" applyAlignment="1" applyProtection="1"/>
    <xf numFmtId="0" fontId="88" fillId="0" borderId="0" xfId="0" applyFont="1" applyAlignment="1" applyProtection="1">
      <alignment horizontal="left"/>
    </xf>
    <xf numFmtId="0" fontId="88" fillId="0" borderId="0" xfId="0" applyFont="1" applyAlignment="1" applyProtection="1">
      <alignment wrapText="1"/>
    </xf>
    <xf numFmtId="0" fontId="87" fillId="0" borderId="0" xfId="0" applyFont="1" applyAlignment="1" applyProtection="1">
      <alignment horizontal="left" wrapText="1"/>
    </xf>
    <xf numFmtId="0" fontId="88" fillId="0" borderId="27" xfId="0" applyFont="1" applyBorder="1" applyAlignment="1" applyProtection="1">
      <alignment horizontal="center" vertical="top"/>
    </xf>
    <xf numFmtId="0" fontId="90" fillId="0" borderId="27" xfId="0" applyFont="1" applyBorder="1" applyProtection="1"/>
    <xf numFmtId="0" fontId="88" fillId="0" borderId="0" xfId="0" applyFont="1" applyAlignment="1" applyProtection="1">
      <alignment horizontal="center" vertical="top"/>
    </xf>
    <xf numFmtId="0" fontId="86" fillId="5" borderId="0" xfId="0" applyFont="1" applyFill="1" applyAlignment="1" applyProtection="1">
      <alignment horizontal="center" wrapText="1"/>
    </xf>
    <xf numFmtId="0" fontId="88" fillId="0" borderId="18" xfId="0" applyFont="1" applyBorder="1" applyProtection="1">
      <protection locked="0"/>
    </xf>
    <xf numFmtId="0" fontId="90" fillId="0" borderId="18" xfId="0" applyFont="1" applyBorder="1" applyProtection="1">
      <protection locked="0"/>
    </xf>
    <xf numFmtId="0" fontId="88" fillId="0" borderId="54" xfId="0" applyFont="1" applyBorder="1" applyProtection="1">
      <protection locked="0"/>
    </xf>
    <xf numFmtId="0" fontId="58" fillId="0" borderId="0" xfId="0" applyFont="1" applyAlignment="1">
      <alignment wrapText="1"/>
    </xf>
    <xf numFmtId="0" fontId="0" fillId="0" borderId="0" xfId="0" applyFont="1" applyAlignment="1">
      <alignment wrapText="1"/>
    </xf>
    <xf numFmtId="0" fontId="57" fillId="9" borderId="10" xfId="0" applyFont="1" applyFill="1" applyBorder="1" applyAlignment="1">
      <alignment horizontal="left" vertical="center"/>
    </xf>
    <xf numFmtId="0" fontId="15" fillId="0" borderId="19" xfId="0" applyFont="1" applyBorder="1"/>
    <xf numFmtId="0" fontId="15" fillId="0" borderId="11" xfId="0" applyFont="1" applyBorder="1"/>
    <xf numFmtId="0" fontId="42" fillId="2" borderId="10" xfId="0" applyFont="1" applyFill="1" applyBorder="1" applyAlignment="1">
      <alignment vertical="top" wrapText="1"/>
    </xf>
    <xf numFmtId="0" fontId="15" fillId="0" borderId="38" xfId="0" applyFont="1" applyBorder="1"/>
    <xf numFmtId="0" fontId="42" fillId="2" borderId="19" xfId="0" applyFont="1" applyFill="1" applyBorder="1" applyAlignment="1">
      <alignment vertical="top" wrapText="1"/>
    </xf>
    <xf numFmtId="0" fontId="5" fillId="0" borderId="1" xfId="0" applyFont="1" applyBorder="1" applyAlignment="1">
      <alignment horizontal="center" vertical="center"/>
    </xf>
    <xf numFmtId="0" fontId="15" fillId="0" borderId="2" xfId="0" applyFont="1" applyBorder="1"/>
    <xf numFmtId="0" fontId="15" fillId="0" borderId="3" xfId="0" applyFont="1" applyBorder="1"/>
    <xf numFmtId="0" fontId="10" fillId="0" borderId="39" xfId="0" applyFont="1" applyBorder="1" applyAlignment="1">
      <alignment horizontal="right" vertical="center"/>
    </xf>
    <xf numFmtId="0" fontId="15" fillId="0" borderId="40" xfId="0" applyFont="1" applyBorder="1"/>
    <xf numFmtId="8" fontId="10" fillId="2" borderId="41" xfId="0" applyNumberFormat="1" applyFont="1" applyFill="1" applyBorder="1" applyAlignment="1">
      <alignment vertical="center"/>
    </xf>
    <xf numFmtId="0" fontId="15" fillId="0" borderId="42" xfId="0" applyFont="1" applyBorder="1"/>
    <xf numFmtId="0" fontId="44" fillId="0" borderId="32" xfId="0" applyFont="1" applyBorder="1" applyAlignment="1">
      <alignment vertical="top" wrapText="1"/>
    </xf>
    <xf numFmtId="0" fontId="15" fillId="0" borderId="15" xfId="0" applyFont="1" applyBorder="1"/>
    <xf numFmtId="0" fontId="56" fillId="2" borderId="32" xfId="0" applyFont="1" applyFill="1" applyBorder="1" applyAlignment="1">
      <alignment horizontal="left" vertical="top" wrapText="1"/>
    </xf>
    <xf numFmtId="0" fontId="44" fillId="0" borderId="33" xfId="0" applyFont="1" applyBorder="1" applyAlignment="1">
      <alignment vertical="top" wrapText="1"/>
    </xf>
    <xf numFmtId="0" fontId="15" fillId="0" borderId="33" xfId="0" applyFont="1" applyBorder="1"/>
    <xf numFmtId="0" fontId="60" fillId="0" borderId="17" xfId="0" applyFont="1" applyBorder="1" applyAlignment="1">
      <alignment wrapText="1"/>
    </xf>
    <xf numFmtId="0" fontId="15" fillId="0" borderId="17" xfId="0" applyFont="1" applyBorder="1"/>
    <xf numFmtId="0" fontId="64" fillId="2" borderId="32" xfId="0" applyFont="1" applyFill="1" applyBorder="1" applyAlignment="1">
      <alignment horizontal="left" vertical="top" wrapText="1"/>
    </xf>
    <xf numFmtId="0" fontId="19" fillId="0" borderId="32" xfId="0" applyFont="1" applyBorder="1" applyAlignment="1">
      <alignment wrapText="1"/>
    </xf>
    <xf numFmtId="0" fontId="60" fillId="2" borderId="32" xfId="0" applyFont="1" applyFill="1" applyBorder="1" applyAlignment="1">
      <alignment horizontal="left" vertical="top" wrapText="1"/>
    </xf>
    <xf numFmtId="0" fontId="10" fillId="0" borderId="10" xfId="0" applyFont="1" applyBorder="1" applyAlignment="1">
      <alignment horizontal="right" vertical="center"/>
    </xf>
    <xf numFmtId="8" fontId="10" fillId="2" borderId="10" xfId="0" applyNumberFormat="1" applyFont="1" applyFill="1" applyBorder="1" applyAlignment="1">
      <alignment vertical="center"/>
    </xf>
    <xf numFmtId="0" fontId="60" fillId="0" borderId="17" xfId="0" applyFont="1" applyBorder="1" applyAlignment="1">
      <alignment vertical="top" wrapText="1"/>
    </xf>
    <xf numFmtId="0" fontId="19" fillId="0" borderId="1" xfId="0" applyFont="1" applyBorder="1" applyAlignment="1">
      <alignment horizontal="left" vertical="top" wrapText="1"/>
    </xf>
    <xf numFmtId="0" fontId="15" fillId="0" borderId="13" xfId="0" applyFont="1" applyBorder="1"/>
    <xf numFmtId="0" fontId="23" fillId="8" borderId="46" xfId="0" applyFont="1" applyFill="1" applyBorder="1" applyAlignment="1" applyProtection="1">
      <alignment horizontal="center" wrapText="1"/>
      <protection locked="0"/>
    </xf>
    <xf numFmtId="0" fontId="15" fillId="0" borderId="14" xfId="0" applyFont="1" applyBorder="1" applyProtection="1">
      <protection locked="0"/>
    </xf>
    <xf numFmtId="0" fontId="19" fillId="0" borderId="32" xfId="0" applyFont="1" applyBorder="1" applyAlignment="1">
      <alignment vertical="top" wrapText="1"/>
    </xf>
    <xf numFmtId="0" fontId="19" fillId="0" borderId="32" xfId="0" applyFont="1" applyBorder="1" applyAlignment="1">
      <alignment horizontal="left" vertical="top" wrapText="1"/>
    </xf>
    <xf numFmtId="0" fontId="57" fillId="9" borderId="1" xfId="0" applyFont="1" applyFill="1" applyBorder="1" applyAlignment="1">
      <alignment horizontal="left" vertical="center"/>
    </xf>
    <xf numFmtId="0" fontId="10" fillId="0" borderId="7" xfId="0" applyFont="1" applyBorder="1" applyAlignment="1">
      <alignment horizontal="right" vertical="center"/>
    </xf>
    <xf numFmtId="0" fontId="15" fillId="0" borderId="65" xfId="0" applyFont="1" applyBorder="1"/>
    <xf numFmtId="8" fontId="10" fillId="2" borderId="66" xfId="0" applyNumberFormat="1" applyFont="1" applyFill="1" applyBorder="1" applyAlignment="1">
      <alignment vertical="center"/>
    </xf>
    <xf numFmtId="0" fontId="15" fillId="0" borderId="8" xfId="0" applyFont="1" applyBorder="1"/>
    <xf numFmtId="0" fontId="57" fillId="9" borderId="1" xfId="0" applyFont="1" applyFill="1" applyBorder="1" applyAlignment="1">
      <alignment vertical="center"/>
    </xf>
    <xf numFmtId="166" fontId="10" fillId="2" borderId="19" xfId="0" applyNumberFormat="1" applyFont="1" applyFill="1" applyBorder="1" applyAlignment="1">
      <alignment vertical="center"/>
    </xf>
    <xf numFmtId="0" fontId="44" fillId="0" borderId="67" xfId="0" applyFont="1" applyBorder="1" applyAlignment="1">
      <alignment vertical="top" wrapText="1"/>
    </xf>
    <xf numFmtId="0" fontId="15" fillId="0" borderId="69" xfId="0" applyFont="1" applyBorder="1"/>
    <xf numFmtId="0" fontId="19" fillId="0" borderId="32" xfId="0" applyFont="1" applyBorder="1" applyAlignment="1">
      <alignment vertical="top"/>
    </xf>
    <xf numFmtId="0" fontId="57" fillId="9" borderId="10" xfId="0" applyFont="1" applyFill="1" applyBorder="1" applyAlignment="1">
      <alignment vertical="center"/>
    </xf>
    <xf numFmtId="0" fontId="10" fillId="0" borderId="13" xfId="0" applyFont="1" applyBorder="1" applyAlignment="1">
      <alignment horizontal="right" vertical="center"/>
    </xf>
    <xf numFmtId="0" fontId="15" fillId="0" borderId="16" xfId="0" applyFont="1" applyBorder="1"/>
    <xf numFmtId="0" fontId="15" fillId="0" borderId="72" xfId="0" applyFont="1" applyBorder="1"/>
    <xf numFmtId="44" fontId="10" fillId="2" borderId="74" xfId="0" applyNumberFormat="1" applyFont="1" applyFill="1" applyBorder="1" applyAlignment="1">
      <alignment vertical="center"/>
    </xf>
    <xf numFmtId="0" fontId="15" fillId="0" borderId="14" xfId="0" applyFont="1" applyBorder="1"/>
    <xf numFmtId="0" fontId="50" fillId="0" borderId="26" xfId="0" applyFont="1" applyBorder="1" applyAlignment="1">
      <alignment vertical="top" wrapText="1"/>
    </xf>
    <xf numFmtId="0" fontId="51" fillId="0" borderId="29" xfId="0" applyFont="1" applyBorder="1" applyAlignment="1">
      <alignment horizontal="center"/>
    </xf>
    <xf numFmtId="0" fontId="50" fillId="0" borderId="26" xfId="0" applyFont="1" applyBorder="1" applyAlignment="1"/>
    <xf numFmtId="0" fontId="50" fillId="0" borderId="29" xfId="0" applyFont="1" applyBorder="1" applyAlignment="1" applyProtection="1">
      <protection locked="0"/>
    </xf>
    <xf numFmtId="0" fontId="15" fillId="0" borderId="28" xfId="0" applyFont="1" applyBorder="1" applyProtection="1">
      <protection locked="0"/>
    </xf>
    <xf numFmtId="166" fontId="50" fillId="0" borderId="29" xfId="0" applyNumberFormat="1" applyFont="1" applyBorder="1" applyProtection="1">
      <protection locked="0"/>
    </xf>
    <xf numFmtId="166" fontId="50" fillId="8" borderId="29" xfId="0" applyNumberFormat="1" applyFont="1" applyFill="1" applyBorder="1" applyAlignment="1"/>
    <xf numFmtId="0" fontId="49" fillId="0" borderId="54" xfId="0" applyFont="1" applyBorder="1" applyAlignment="1">
      <alignment horizontal="center"/>
    </xf>
    <xf numFmtId="0" fontId="49" fillId="0" borderId="76" xfId="0" applyFont="1" applyBorder="1" applyAlignment="1"/>
    <xf numFmtId="0" fontId="0" fillId="0" borderId="76" xfId="0" applyFont="1" applyBorder="1" applyAlignment="1"/>
    <xf numFmtId="166" fontId="49" fillId="6" borderId="76" xfId="0" applyNumberFormat="1" applyFont="1" applyFill="1" applyBorder="1" applyAlignment="1"/>
    <xf numFmtId="0" fontId="15" fillId="0" borderId="76" xfId="0" applyFont="1" applyBorder="1"/>
    <xf numFmtId="166" fontId="49" fillId="7" borderId="76" xfId="0" applyNumberFormat="1" applyFont="1" applyFill="1" applyBorder="1" applyAlignment="1"/>
    <xf numFmtId="0" fontId="49" fillId="0" borderId="77" xfId="0" applyFont="1" applyBorder="1" applyAlignment="1">
      <alignment horizontal="center"/>
    </xf>
    <xf numFmtId="0" fontId="0" fillId="0" borderId="77" xfId="0" applyFont="1" applyBorder="1" applyAlignment="1"/>
    <xf numFmtId="0" fontId="52" fillId="0" borderId="77" xfId="0" applyFont="1" applyBorder="1" applyAlignment="1"/>
    <xf numFmtId="0" fontId="53" fillId="0" borderId="77" xfId="0" applyFont="1" applyBorder="1" applyAlignment="1"/>
    <xf numFmtId="0" fontId="49" fillId="0" borderId="77" xfId="0" applyFont="1" applyBorder="1" applyAlignment="1"/>
    <xf numFmtId="0" fontId="49" fillId="0" borderId="77" xfId="0" applyFont="1" applyBorder="1" applyAlignment="1">
      <alignment wrapText="1"/>
    </xf>
    <xf numFmtId="0" fontId="49" fillId="0" borderId="77" xfId="0" applyFont="1" applyBorder="1" applyAlignment="1">
      <alignment horizontal="left"/>
    </xf>
    <xf numFmtId="0" fontId="52" fillId="0" borderId="77" xfId="0" applyFont="1" applyBorder="1" applyAlignment="1">
      <alignment horizontal="left"/>
    </xf>
    <xf numFmtId="0" fontId="52" fillId="0" borderId="77" xfId="0" applyFont="1" applyBorder="1" applyAlignment="1">
      <alignment horizontal="left" wrapText="1"/>
    </xf>
    <xf numFmtId="0" fontId="54" fillId="0" borderId="77" xfId="0" applyFont="1" applyBorder="1" applyAlignment="1">
      <alignment wrapText="1"/>
    </xf>
    <xf numFmtId="0" fontId="52" fillId="0" borderId="77" xfId="0" applyFont="1" applyBorder="1" applyAlignment="1">
      <alignment horizontal="center"/>
    </xf>
    <xf numFmtId="0" fontId="55" fillId="0" borderId="77" xfId="0" applyFont="1" applyBorder="1" applyAlignment="1">
      <alignment horizontal="center"/>
    </xf>
    <xf numFmtId="0" fontId="52" fillId="0" borderId="77" xfId="0" applyFont="1" applyBorder="1" applyAlignment="1"/>
    <xf numFmtId="0" fontId="49" fillId="0" borderId="77" xfId="0" applyFont="1" applyBorder="1" applyAlignment="1">
      <alignment horizontal="left"/>
    </xf>
    <xf numFmtId="0" fontId="49" fillId="0" borderId="78" xfId="0" applyFont="1" applyBorder="1" applyAlignment="1">
      <alignment vertical="top"/>
    </xf>
    <xf numFmtId="0" fontId="0" fillId="0" borderId="78" xfId="0" applyFont="1" applyBorder="1" applyAlignment="1"/>
    <xf numFmtId="0" fontId="49" fillId="0" borderId="78" xfId="0" applyFont="1" applyBorder="1" applyAlignment="1">
      <alignment horizontal="center" vertical="top"/>
    </xf>
    <xf numFmtId="0" fontId="49" fillId="0" borderId="78" xfId="0" applyFont="1" applyBorder="1" applyAlignment="1"/>
    <xf numFmtId="0" fontId="49" fillId="0" borderId="78" xfId="0" applyFont="1" applyBorder="1" applyAlignment="1">
      <alignment vertical="top"/>
    </xf>
    <xf numFmtId="0" fontId="15" fillId="0" borderId="77" xfId="0" applyFont="1" applyBorder="1" applyProtection="1">
      <protection locked="0"/>
    </xf>
    <xf numFmtId="0" fontId="49" fillId="0" borderId="77" xfId="0" applyFont="1" applyBorder="1" applyAlignment="1">
      <alignment vertical="top"/>
    </xf>
    <xf numFmtId="0" fontId="28" fillId="0" borderId="79" xfId="0" applyFont="1" applyBorder="1" applyProtection="1">
      <protection locked="0"/>
    </xf>
    <xf numFmtId="0" fontId="15" fillId="0" borderId="79" xfId="0" applyFont="1" applyBorder="1" applyProtection="1">
      <protection locked="0"/>
    </xf>
    <xf numFmtId="0" fontId="15" fillId="0" borderId="80" xfId="0" applyFont="1" applyBorder="1" applyProtection="1">
      <protection locked="0"/>
    </xf>
    <xf numFmtId="0" fontId="28" fillId="0" borderId="81" xfId="0" applyFont="1" applyBorder="1" applyProtection="1">
      <protection locked="0"/>
    </xf>
    <xf numFmtId="0" fontId="15" fillId="0" borderId="82" xfId="0" applyFont="1" applyBorder="1" applyProtection="1">
      <protection locked="0"/>
    </xf>
    <xf numFmtId="0" fontId="15" fillId="0" borderId="83" xfId="0" applyFont="1" applyBorder="1" applyProtection="1">
      <protection locked="0"/>
    </xf>
    <xf numFmtId="0" fontId="0" fillId="0" borderId="77" xfId="0" applyFont="1" applyBorder="1" applyAlignment="1"/>
    <xf numFmtId="0" fontId="0" fillId="0" borderId="78" xfId="0" applyFont="1" applyBorder="1" applyAlignment="1"/>
    <xf numFmtId="0" fontId="48" fillId="7" borderId="54" xfId="0" applyFont="1" applyFill="1" applyBorder="1" applyAlignment="1">
      <alignment horizontal="center"/>
    </xf>
    <xf numFmtId="0" fontId="43" fillId="0" borderId="77" xfId="0" applyFont="1" applyBorder="1" applyAlignment="1">
      <alignment horizontal="center"/>
    </xf>
    <xf numFmtId="0" fontId="44" fillId="0" borderId="77" xfId="0" applyFont="1" applyBorder="1" applyAlignment="1">
      <alignment vertical="top" wrapText="1"/>
    </xf>
    <xf numFmtId="0" fontId="45" fillId="0" borderId="77" xfId="0" applyFont="1" applyBorder="1" applyAlignment="1">
      <alignment horizontal="center"/>
    </xf>
    <xf numFmtId="0" fontId="47" fillId="0" borderId="84" xfId="0" applyFont="1" applyBorder="1" applyAlignment="1">
      <alignment horizontal="center"/>
    </xf>
    <xf numFmtId="49" fontId="47" fillId="0" borderId="84" xfId="0" applyNumberFormat="1" applyFont="1" applyBorder="1" applyAlignment="1">
      <alignment horizontal="center"/>
    </xf>
    <xf numFmtId="3" fontId="47" fillId="0" borderId="84" xfId="0" applyNumberFormat="1" applyFont="1" applyBorder="1" applyAlignment="1">
      <alignment horizontal="center"/>
    </xf>
    <xf numFmtId="44" fontId="47" fillId="0" borderId="84" xfId="0" applyNumberFormat="1" applyFont="1" applyBorder="1" applyAlignment="1">
      <alignment horizontal="center"/>
    </xf>
    <xf numFmtId="2" fontId="47" fillId="0" borderId="84" xfId="0" applyNumberFormat="1" applyFont="1" applyBorder="1" applyAlignment="1">
      <alignment horizontal="center"/>
    </xf>
    <xf numFmtId="168" fontId="47" fillId="0" borderId="84" xfId="0" applyNumberFormat="1" applyFont="1" applyBorder="1" applyAlignment="1">
      <alignment horizontal="center"/>
    </xf>
    <xf numFmtId="8" fontId="47" fillId="0" borderId="84" xfId="0" applyNumberFormat="1" applyFont="1" applyBorder="1" applyAlignment="1">
      <alignment horizontal="center"/>
    </xf>
    <xf numFmtId="0" fontId="48" fillId="6" borderId="18" xfId="0" applyFont="1" applyFill="1" applyBorder="1" applyAlignment="1">
      <alignment horizontal="center"/>
    </xf>
    <xf numFmtId="0" fontId="46" fillId="0" borderId="79" xfId="0" applyFont="1" applyBorder="1" applyAlignment="1">
      <alignment horizontal="center"/>
    </xf>
    <xf numFmtId="0" fontId="47" fillId="0" borderId="79" xfId="0" applyFont="1" applyBorder="1" applyAlignment="1">
      <alignment horizontal="center"/>
    </xf>
    <xf numFmtId="0" fontId="49" fillId="0" borderId="85" xfId="0" applyFont="1" applyBorder="1" applyAlignment="1">
      <alignment horizontal="center"/>
    </xf>
    <xf numFmtId="0" fontId="15" fillId="0" borderId="86" xfId="0" applyFont="1" applyBorder="1"/>
    <xf numFmtId="0" fontId="49" fillId="0" borderId="86" xfId="0" applyFont="1" applyBorder="1" applyAlignment="1">
      <alignment horizontal="center"/>
    </xf>
    <xf numFmtId="0" fontId="48" fillId="0" borderId="87" xfId="0" applyFont="1" applyBorder="1" applyAlignment="1">
      <alignment horizontal="center"/>
    </xf>
    <xf numFmtId="0" fontId="48" fillId="0" borderId="88" xfId="0" applyFont="1" applyBorder="1" applyAlignment="1">
      <alignment horizontal="center"/>
    </xf>
    <xf numFmtId="0" fontId="48" fillId="0" borderId="89" xfId="0" applyFont="1" applyBorder="1" applyAlignment="1">
      <alignment horizontal="center"/>
    </xf>
  </cellXfs>
  <cellStyles count="1">
    <cellStyle name="Normal" xfId="0" builtinId="0"/>
  </cellStyles>
  <dxfs count="2">
    <dxf>
      <font>
        <color rgb="FF000000"/>
      </font>
      <fill>
        <patternFill patternType="solid">
          <fgColor rgb="FFB6D7A8"/>
          <bgColor rgb="FFB6D7A8"/>
        </patternFill>
      </fill>
    </dxf>
    <dxf>
      <fill>
        <patternFill patternType="solid">
          <fgColor rgb="FFEA9999"/>
          <bgColor rgb="FFEA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25"/>
  <sheetViews>
    <sheetView zoomScaleNormal="100" workbookViewId="0">
      <selection activeCell="D27" sqref="D27:J27"/>
    </sheetView>
  </sheetViews>
  <sheetFormatPr defaultColWidth="14.42578125" defaultRowHeight="15" customHeight="1"/>
  <cols>
    <col min="1" max="1" width="3.5703125" customWidth="1"/>
    <col min="2" max="2" width="33.7109375" customWidth="1"/>
    <col min="3" max="3" width="34.28515625" customWidth="1"/>
    <col min="4" max="4" width="17" customWidth="1"/>
    <col min="5" max="5" width="12.85546875" customWidth="1"/>
    <col min="6" max="6" width="11.7109375" customWidth="1"/>
    <col min="7" max="7" width="35.5703125" customWidth="1"/>
    <col min="8" max="8" width="29.28515625" customWidth="1"/>
    <col min="9" max="9" width="56.5703125" hidden="1" customWidth="1"/>
    <col min="10" max="10" width="43.28515625" customWidth="1"/>
    <col min="11" max="11" width="11" hidden="1" customWidth="1"/>
    <col min="12" max="12" width="8.7109375" hidden="1" customWidth="1"/>
    <col min="13" max="13" width="10.7109375" hidden="1" customWidth="1"/>
  </cols>
  <sheetData>
    <row r="1" spans="1:13" ht="26.25">
      <c r="A1" s="832" t="s">
        <v>0</v>
      </c>
      <c r="B1" s="829"/>
      <c r="C1" s="829"/>
      <c r="D1" s="829"/>
      <c r="E1" s="829"/>
      <c r="F1" s="829"/>
      <c r="G1" s="829"/>
      <c r="H1" s="829"/>
      <c r="I1" s="829"/>
      <c r="J1" s="829"/>
      <c r="L1" s="1"/>
      <c r="M1" s="1"/>
    </row>
    <row r="2" spans="1:13" ht="15.75" customHeight="1">
      <c r="A2" s="828" t="s">
        <v>1</v>
      </c>
      <c r="B2" s="829"/>
      <c r="C2" s="829"/>
      <c r="D2" s="829"/>
      <c r="E2" s="829"/>
      <c r="F2" s="829"/>
      <c r="G2" s="829"/>
      <c r="H2" s="829"/>
      <c r="I2" s="829"/>
      <c r="J2" s="829"/>
      <c r="K2" s="2"/>
      <c r="L2" s="3"/>
      <c r="M2" s="4"/>
    </row>
    <row r="3" spans="1:13" ht="15.75" customHeight="1">
      <c r="A3" s="828" t="s">
        <v>2</v>
      </c>
      <c r="B3" s="829"/>
      <c r="C3" s="829"/>
      <c r="D3" s="829"/>
      <c r="E3" s="829"/>
      <c r="F3" s="829"/>
      <c r="G3" s="829"/>
      <c r="H3" s="829"/>
      <c r="I3" s="829"/>
      <c r="J3" s="829"/>
      <c r="K3" s="2"/>
      <c r="L3" s="3"/>
      <c r="M3" s="4"/>
    </row>
    <row r="4" spans="1:13" ht="15.75" customHeight="1">
      <c r="A4" s="828" t="s">
        <v>3</v>
      </c>
      <c r="B4" s="829"/>
      <c r="C4" s="829"/>
      <c r="D4" s="829"/>
      <c r="E4" s="829"/>
      <c r="F4" s="829"/>
      <c r="G4" s="829"/>
      <c r="H4" s="829"/>
      <c r="I4" s="829"/>
      <c r="J4" s="829"/>
      <c r="K4" s="2"/>
      <c r="L4" s="3"/>
      <c r="M4" s="4"/>
    </row>
    <row r="5" spans="1:13" ht="15.75" customHeight="1">
      <c r="A5" s="833" t="s">
        <v>4</v>
      </c>
      <c r="B5" s="829"/>
      <c r="C5" s="829"/>
      <c r="D5" s="829"/>
      <c r="E5" s="829"/>
      <c r="F5" s="829"/>
      <c r="G5" s="829"/>
      <c r="H5" s="829"/>
      <c r="I5" s="829"/>
      <c r="J5" s="829"/>
      <c r="K5" s="2"/>
      <c r="L5" s="3"/>
      <c r="M5" s="4"/>
    </row>
    <row r="6" spans="1:13" s="585" customFormat="1" ht="15.75" customHeight="1">
      <c r="A6" s="826" t="s">
        <v>5</v>
      </c>
      <c r="B6" s="827"/>
      <c r="C6" s="827"/>
      <c r="D6" s="827"/>
      <c r="E6" s="827"/>
      <c r="F6" s="827"/>
      <c r="G6" s="827"/>
      <c r="H6" s="827"/>
      <c r="I6" s="827"/>
      <c r="J6" s="827"/>
      <c r="K6" s="582"/>
      <c r="L6" s="583"/>
      <c r="M6" s="584"/>
    </row>
    <row r="7" spans="1:13" ht="15.75" customHeight="1">
      <c r="A7" s="828" t="s">
        <v>6</v>
      </c>
      <c r="B7" s="829"/>
      <c r="C7" s="829"/>
      <c r="D7" s="829"/>
      <c r="E7" s="829"/>
      <c r="F7" s="829"/>
      <c r="G7" s="829"/>
      <c r="H7" s="829"/>
      <c r="I7" s="829"/>
      <c r="J7" s="829"/>
      <c r="K7" s="2"/>
      <c r="L7" s="3"/>
      <c r="M7" s="4"/>
    </row>
    <row r="8" spans="1:13" ht="15.75" customHeight="1">
      <c r="A8" s="828" t="s">
        <v>7</v>
      </c>
      <c r="B8" s="829"/>
      <c r="C8" s="829"/>
      <c r="D8" s="829"/>
      <c r="E8" s="829"/>
      <c r="F8" s="829"/>
      <c r="G8" s="829"/>
      <c r="H8" s="829"/>
      <c r="I8" s="829"/>
      <c r="J8" s="829"/>
      <c r="K8" s="2"/>
      <c r="L8" s="3"/>
      <c r="M8" s="4"/>
    </row>
    <row r="9" spans="1:13" ht="23.25">
      <c r="A9" s="5"/>
      <c r="B9" s="575" t="s">
        <v>8</v>
      </c>
      <c r="C9" s="830"/>
      <c r="D9" s="827"/>
      <c r="E9" s="831" t="s">
        <v>9</v>
      </c>
      <c r="F9" s="829"/>
      <c r="G9" s="830"/>
      <c r="H9" s="827"/>
      <c r="I9" s="827"/>
      <c r="J9" s="827"/>
      <c r="K9" s="6"/>
      <c r="L9" s="7"/>
      <c r="M9" s="8"/>
    </row>
    <row r="10" spans="1:13" ht="26.25">
      <c r="A10" s="552"/>
      <c r="B10" s="806" t="s">
        <v>10</v>
      </c>
      <c r="C10" s="807"/>
      <c r="D10" s="807"/>
      <c r="E10" s="807"/>
      <c r="F10" s="807"/>
      <c r="G10" s="807"/>
      <c r="H10" s="807"/>
      <c r="I10" s="807"/>
      <c r="J10" s="808"/>
      <c r="K10" s="9">
        <v>21.43</v>
      </c>
      <c r="L10" s="10">
        <f>(SUNDRY!K21-K10)/K10</f>
        <v>-1</v>
      </c>
      <c r="M10" s="11">
        <v>20.18</v>
      </c>
    </row>
    <row r="11" spans="1:13" ht="30">
      <c r="A11" s="809" t="s">
        <v>11</v>
      </c>
      <c r="B11" s="810"/>
      <c r="C11" s="810"/>
      <c r="D11" s="810"/>
      <c r="E11" s="810"/>
      <c r="F11" s="810"/>
      <c r="G11" s="810"/>
      <c r="H11" s="586" t="s">
        <v>12</v>
      </c>
      <c r="I11" s="12"/>
      <c r="J11" s="553"/>
      <c r="K11" s="2">
        <v>4.09</v>
      </c>
      <c r="L11" s="13">
        <f>(SUNDRY!K22-K11)/K11</f>
        <v>-1</v>
      </c>
      <c r="M11" s="14">
        <v>4.47</v>
      </c>
    </row>
    <row r="12" spans="1:13" ht="18">
      <c r="A12" s="554"/>
      <c r="B12" s="555"/>
      <c r="C12" s="556"/>
      <c r="D12" s="557"/>
      <c r="E12" s="558"/>
      <c r="F12" s="559"/>
      <c r="G12" s="560"/>
      <c r="H12" s="561"/>
      <c r="I12" s="562"/>
      <c r="J12" s="563"/>
      <c r="K12" s="2">
        <v>8.25</v>
      </c>
      <c r="L12" s="13">
        <f>(SUNDRY!K23-K12)/K12</f>
        <v>-1</v>
      </c>
      <c r="M12" s="14">
        <v>8.25</v>
      </c>
    </row>
    <row r="13" spans="1:13" ht="52.5">
      <c r="A13" s="564"/>
      <c r="B13" s="836" t="s">
        <v>13</v>
      </c>
      <c r="C13" s="810"/>
      <c r="D13" s="810"/>
      <c r="E13" s="810"/>
      <c r="F13" s="834" t="s">
        <v>14</v>
      </c>
      <c r="G13" s="835"/>
      <c r="H13" s="576" t="s">
        <v>15</v>
      </c>
      <c r="I13" s="15"/>
      <c r="J13" s="565" t="s">
        <v>16</v>
      </c>
      <c r="K13" s="9">
        <v>12.3</v>
      </c>
      <c r="L13" s="10">
        <f>(SUNDRY!K24-K13)/K13</f>
        <v>-1</v>
      </c>
      <c r="M13" s="11">
        <v>11.6</v>
      </c>
    </row>
    <row r="14" spans="1:13" ht="26.25">
      <c r="A14" s="566"/>
      <c r="B14" s="837" t="s">
        <v>17</v>
      </c>
      <c r="C14" s="810"/>
      <c r="D14" s="810"/>
      <c r="E14" s="810"/>
      <c r="F14" s="838">
        <f>'FRESH MILK '!G14</f>
        <v>0</v>
      </c>
      <c r="G14" s="839"/>
      <c r="H14" s="577">
        <v>6</v>
      </c>
      <c r="I14" s="16"/>
      <c r="J14" s="587"/>
      <c r="K14" s="9"/>
      <c r="L14" s="10"/>
      <c r="M14" s="11"/>
    </row>
    <row r="15" spans="1:13" ht="26.25">
      <c r="A15" s="566"/>
      <c r="B15" s="837" t="s">
        <v>18</v>
      </c>
      <c r="C15" s="810"/>
      <c r="D15" s="810"/>
      <c r="E15" s="810"/>
      <c r="F15" s="838">
        <f>'FRESH FROZEN BREAD'!K16</f>
        <v>0</v>
      </c>
      <c r="G15" s="839"/>
      <c r="H15" s="577">
        <v>4</v>
      </c>
      <c r="I15" s="16"/>
      <c r="J15" s="587"/>
      <c r="K15" s="9"/>
      <c r="L15" s="10"/>
      <c r="M15" s="11"/>
    </row>
    <row r="16" spans="1:13" ht="26.25">
      <c r="A16" s="566"/>
      <c r="B16" s="837" t="s">
        <v>19</v>
      </c>
      <c r="C16" s="810"/>
      <c r="D16" s="810"/>
      <c r="E16" s="810"/>
      <c r="F16" s="838">
        <f>'FRESH PRODUCESMALL FARM PRODUCE'!K56</f>
        <v>0</v>
      </c>
      <c r="G16" s="839"/>
      <c r="H16" s="577">
        <v>32</v>
      </c>
      <c r="I16" s="16"/>
      <c r="J16" s="587"/>
      <c r="K16" s="9"/>
      <c r="L16" s="10"/>
      <c r="M16" s="11"/>
    </row>
    <row r="17" spans="1:13" ht="26.25">
      <c r="A17" s="566"/>
      <c r="B17" s="837" t="s">
        <v>20</v>
      </c>
      <c r="C17" s="810"/>
      <c r="D17" s="810"/>
      <c r="E17" s="810"/>
      <c r="F17" s="840">
        <f>NOI!K164</f>
        <v>0</v>
      </c>
      <c r="G17" s="841"/>
      <c r="H17" s="578">
        <v>88</v>
      </c>
      <c r="I17" s="567"/>
      <c r="J17" s="588"/>
      <c r="K17" s="9">
        <v>18.14</v>
      </c>
      <c r="L17" s="10">
        <f>(NOI!K162-K17)/K17</f>
        <v>-1</v>
      </c>
      <c r="M17" s="11">
        <v>17.489999999999998</v>
      </c>
    </row>
    <row r="18" spans="1:13" ht="26.25">
      <c r="A18" s="568"/>
      <c r="B18" s="842" t="s">
        <v>21</v>
      </c>
      <c r="C18" s="810"/>
      <c r="D18" s="810"/>
      <c r="E18" s="810"/>
      <c r="F18" s="838">
        <f>'MEAT-MEAT ALTERNATIVES'!K68</f>
        <v>0</v>
      </c>
      <c r="G18" s="839"/>
      <c r="H18" s="577">
        <v>34</v>
      </c>
      <c r="I18" s="16"/>
      <c r="J18" s="587"/>
      <c r="K18" s="9"/>
      <c r="L18" s="17"/>
      <c r="M18" s="18"/>
    </row>
    <row r="19" spans="1:13" ht="26.25">
      <c r="A19" s="566"/>
      <c r="B19" s="842" t="s">
        <v>22</v>
      </c>
      <c r="C19" s="810"/>
      <c r="D19" s="810"/>
      <c r="E19" s="810"/>
      <c r="F19" s="838">
        <f>'GRAIN-BREAD'!K159</f>
        <v>0</v>
      </c>
      <c r="G19" s="839"/>
      <c r="H19" s="577">
        <v>103</v>
      </c>
      <c r="I19" s="16"/>
      <c r="J19" s="587"/>
      <c r="K19" s="9"/>
      <c r="L19" s="10"/>
      <c r="M19" s="11"/>
    </row>
    <row r="20" spans="1:13" ht="26.25">
      <c r="A20" s="566"/>
      <c r="B20" s="842" t="s">
        <v>23</v>
      </c>
      <c r="C20" s="810"/>
      <c r="D20" s="810"/>
      <c r="E20" s="810"/>
      <c r="F20" s="838">
        <f>'FRUIT DRY-FROZEN'!K104</f>
        <v>0</v>
      </c>
      <c r="G20" s="839"/>
      <c r="H20" s="577">
        <v>74</v>
      </c>
      <c r="I20" s="16"/>
      <c r="J20" s="587"/>
      <c r="K20" s="9"/>
      <c r="L20" s="10"/>
      <c r="M20" s="11"/>
    </row>
    <row r="21" spans="1:13" ht="26.25">
      <c r="A21" s="566"/>
      <c r="B21" s="842" t="s">
        <v>24</v>
      </c>
      <c r="C21" s="810"/>
      <c r="D21" s="810"/>
      <c r="E21" s="810"/>
      <c r="F21" s="838">
        <f>'VEGETABLE DRY-FROZEN'!K63</f>
        <v>0</v>
      </c>
      <c r="G21" s="839"/>
      <c r="H21" s="577">
        <v>30</v>
      </c>
      <c r="I21" s="16"/>
      <c r="J21" s="587"/>
      <c r="K21" s="9"/>
      <c r="L21" s="10"/>
      <c r="M21" s="11"/>
    </row>
    <row r="22" spans="1:13" ht="26.25">
      <c r="A22" s="566"/>
      <c r="B22" s="842" t="s">
        <v>25</v>
      </c>
      <c r="C22" s="810"/>
      <c r="D22" s="810"/>
      <c r="E22" s="810"/>
      <c r="F22" s="838">
        <f>SUNDRY!K59</f>
        <v>0</v>
      </c>
      <c r="G22" s="839"/>
      <c r="H22" s="579">
        <v>45</v>
      </c>
      <c r="I22" s="16"/>
      <c r="J22" s="587"/>
      <c r="K22" s="9">
        <v>25.2</v>
      </c>
      <c r="L22" s="10">
        <f>(SUNDRY!K25-K22)/K22</f>
        <v>-1</v>
      </c>
      <c r="M22" s="11">
        <v>17.760000000000002</v>
      </c>
    </row>
    <row r="23" spans="1:13" ht="26.25">
      <c r="A23" s="569"/>
      <c r="B23" s="837" t="s">
        <v>26</v>
      </c>
      <c r="C23" s="810"/>
      <c r="D23" s="810"/>
      <c r="E23" s="810"/>
      <c r="F23" s="838">
        <f>'DAIRY-DAIRY ALT'!K21</f>
        <v>0</v>
      </c>
      <c r="G23" s="839"/>
      <c r="H23" s="577">
        <v>10</v>
      </c>
      <c r="I23" s="16"/>
      <c r="J23" s="587"/>
      <c r="K23" s="9"/>
      <c r="L23" s="19"/>
      <c r="M23" s="18"/>
    </row>
    <row r="24" spans="1:13" ht="26.25">
      <c r="A24" s="570"/>
      <c r="B24" s="842" t="s">
        <v>27</v>
      </c>
      <c r="C24" s="810"/>
      <c r="D24" s="810"/>
      <c r="E24" s="810"/>
      <c r="F24" s="838">
        <f>SPICES!K48</f>
        <v>0</v>
      </c>
      <c r="G24" s="839"/>
      <c r="H24" s="577">
        <v>25</v>
      </c>
      <c r="I24" s="16"/>
      <c r="J24" s="587"/>
      <c r="K24" s="9">
        <v>5.83</v>
      </c>
      <c r="L24" s="10">
        <f>(SUNDRY!K28-K24)/K24</f>
        <v>-1</v>
      </c>
      <c r="M24" s="11">
        <v>5.59</v>
      </c>
    </row>
    <row r="25" spans="1:13" ht="26.25">
      <c r="A25" s="570"/>
      <c r="B25" s="842" t="s">
        <v>28</v>
      </c>
      <c r="C25" s="810"/>
      <c r="D25" s="810"/>
      <c r="E25" s="810"/>
      <c r="F25" s="846">
        <f>'PAPER-CHEMICAL SUPPLIES'!K68</f>
        <v>0</v>
      </c>
      <c r="G25" s="835"/>
      <c r="H25" s="580">
        <v>47</v>
      </c>
      <c r="I25" s="20"/>
      <c r="J25" s="589"/>
      <c r="K25" s="9"/>
      <c r="L25" s="17"/>
      <c r="M25" s="18"/>
    </row>
    <row r="26" spans="1:13" ht="26.25">
      <c r="A26" s="570"/>
      <c r="B26" s="837" t="s">
        <v>29</v>
      </c>
      <c r="C26" s="810"/>
      <c r="D26" s="810"/>
      <c r="E26" s="810"/>
      <c r="F26" s="847">
        <f>SUM(F14:G25)</f>
        <v>0</v>
      </c>
      <c r="G26" s="841"/>
      <c r="H26" s="581">
        <f>SUM(H17:H25)</f>
        <v>456</v>
      </c>
      <c r="I26" s="571"/>
      <c r="J26" s="590"/>
      <c r="K26" s="9">
        <v>19.71</v>
      </c>
      <c r="L26" s="10">
        <f>(SUNDRY!K30-K26)/K26</f>
        <v>-1</v>
      </c>
      <c r="M26" s="11">
        <v>19.29</v>
      </c>
    </row>
    <row r="27" spans="1:13" ht="26.25" customHeight="1">
      <c r="A27" s="572"/>
      <c r="B27" s="848" t="s">
        <v>30</v>
      </c>
      <c r="C27" s="810"/>
      <c r="D27" s="817"/>
      <c r="E27" s="818"/>
      <c r="F27" s="818"/>
      <c r="G27" s="818"/>
      <c r="H27" s="818"/>
      <c r="I27" s="818"/>
      <c r="J27" s="819"/>
      <c r="K27" s="2"/>
      <c r="L27" s="21"/>
      <c r="M27" s="14"/>
    </row>
    <row r="28" spans="1:13" ht="26.25" customHeight="1">
      <c r="A28" s="572"/>
      <c r="B28" s="820"/>
      <c r="C28" s="821"/>
      <c r="D28" s="821"/>
      <c r="E28" s="821"/>
      <c r="F28" s="821"/>
      <c r="G28" s="821"/>
      <c r="H28" s="821"/>
      <c r="I28" s="821"/>
      <c r="J28" s="822"/>
      <c r="K28" s="22">
        <v>10.56</v>
      </c>
      <c r="L28" s="13">
        <f>(SUNDRY!K32-K28)/K28</f>
        <v>-1</v>
      </c>
      <c r="M28" s="14">
        <v>10.88</v>
      </c>
    </row>
    <row r="29" spans="1:13" ht="26.25" customHeight="1">
      <c r="A29" s="572"/>
      <c r="B29" s="823" t="s">
        <v>31</v>
      </c>
      <c r="C29" s="810"/>
      <c r="D29" s="810"/>
      <c r="E29" s="810"/>
      <c r="F29" s="810"/>
      <c r="G29" s="810"/>
      <c r="H29" s="810"/>
      <c r="I29" s="810"/>
      <c r="J29" s="824"/>
      <c r="K29" s="2">
        <v>38</v>
      </c>
      <c r="L29" s="13">
        <f>(SUNDRY!K33-K29)/K29</f>
        <v>-1</v>
      </c>
      <c r="M29" s="14">
        <v>39.799999999999997</v>
      </c>
    </row>
    <row r="30" spans="1:13" ht="26.25" customHeight="1">
      <c r="A30" s="573"/>
      <c r="B30" s="815" t="s">
        <v>32</v>
      </c>
      <c r="C30" s="810"/>
      <c r="D30" s="825"/>
      <c r="E30" s="818"/>
      <c r="F30" s="818"/>
      <c r="G30" s="818"/>
      <c r="H30" s="818"/>
      <c r="I30" s="818"/>
      <c r="J30" s="819"/>
      <c r="K30" s="23"/>
      <c r="L30" s="24"/>
      <c r="M30" s="25"/>
    </row>
    <row r="31" spans="1:13" ht="26.25" customHeight="1">
      <c r="A31" s="573"/>
      <c r="B31" s="811" t="s">
        <v>33</v>
      </c>
      <c r="C31" s="810"/>
      <c r="D31" s="812"/>
      <c r="E31" s="813"/>
      <c r="F31" s="813"/>
      <c r="G31" s="813"/>
      <c r="H31" s="813"/>
      <c r="I31" s="813"/>
      <c r="J31" s="814"/>
      <c r="K31" s="23">
        <v>13.47</v>
      </c>
      <c r="L31" s="26">
        <f>(SUNDRY!K35-K31)/K31</f>
        <v>-1</v>
      </c>
      <c r="M31" s="27">
        <v>14.06</v>
      </c>
    </row>
    <row r="32" spans="1:13" ht="26.25" customHeight="1">
      <c r="A32" s="573"/>
      <c r="B32" s="815" t="s">
        <v>34</v>
      </c>
      <c r="C32" s="810"/>
      <c r="D32" s="816"/>
      <c r="E32" s="813"/>
      <c r="F32" s="813"/>
      <c r="G32" s="813"/>
      <c r="H32" s="813"/>
      <c r="I32" s="813"/>
      <c r="J32" s="814"/>
      <c r="K32" s="23"/>
      <c r="L32" s="24"/>
      <c r="M32" s="27"/>
    </row>
    <row r="33" spans="1:13" ht="26.25" customHeight="1">
      <c r="A33" s="573"/>
      <c r="B33" s="849" t="s">
        <v>35</v>
      </c>
      <c r="C33" s="810"/>
      <c r="D33" s="850"/>
      <c r="E33" s="813"/>
      <c r="F33" s="813"/>
      <c r="G33" s="813"/>
      <c r="H33" s="813"/>
      <c r="I33" s="813"/>
      <c r="J33" s="814"/>
      <c r="K33" s="23">
        <v>25.67</v>
      </c>
      <c r="L33" s="26">
        <f>(SUNDRY!K37-K33)/K33</f>
        <v>-1</v>
      </c>
      <c r="M33" s="27">
        <v>27.57</v>
      </c>
    </row>
    <row r="34" spans="1:13" ht="26.25" customHeight="1">
      <c r="A34" s="573"/>
      <c r="B34" s="849" t="s">
        <v>36</v>
      </c>
      <c r="C34" s="810"/>
      <c r="D34" s="845"/>
      <c r="E34" s="813"/>
      <c r="F34" s="813"/>
      <c r="G34" s="813"/>
      <c r="H34" s="813"/>
      <c r="I34" s="813"/>
      <c r="J34" s="814"/>
      <c r="K34" s="23">
        <v>8.7100000000000009</v>
      </c>
      <c r="L34" s="26">
        <f>(SUNDRY!K38-K34)/K34</f>
        <v>-1</v>
      </c>
      <c r="M34" s="27">
        <v>11.19</v>
      </c>
    </row>
    <row r="35" spans="1:13" ht="26.25" customHeight="1">
      <c r="A35" s="573"/>
      <c r="B35" s="811" t="s">
        <v>37</v>
      </c>
      <c r="C35" s="810"/>
      <c r="D35" s="845"/>
      <c r="E35" s="813"/>
      <c r="F35" s="813"/>
      <c r="G35" s="813"/>
      <c r="H35" s="813"/>
      <c r="I35" s="813"/>
      <c r="J35" s="814"/>
      <c r="K35" s="23"/>
      <c r="L35" s="24"/>
      <c r="M35" s="25"/>
    </row>
    <row r="36" spans="1:13" ht="26.25" customHeight="1">
      <c r="A36" s="574"/>
      <c r="B36" s="843" t="s">
        <v>38</v>
      </c>
      <c r="C36" s="844"/>
      <c r="D36" s="845"/>
      <c r="E36" s="813"/>
      <c r="F36" s="813"/>
      <c r="G36" s="813"/>
      <c r="H36" s="813"/>
      <c r="I36" s="813"/>
      <c r="J36" s="814"/>
      <c r="K36" s="23">
        <v>10.92</v>
      </c>
      <c r="L36" s="24"/>
      <c r="M36" s="25"/>
    </row>
    <row r="37" spans="1:13" ht="15.75">
      <c r="K37" s="2">
        <v>12.72</v>
      </c>
      <c r="L37" s="13">
        <f>(SUNDRY!K41-K37)/K37</f>
        <v>-1</v>
      </c>
      <c r="M37" s="14">
        <v>12.49</v>
      </c>
    </row>
    <row r="38" spans="1:13" ht="15.75">
      <c r="K38" s="22">
        <v>21.41</v>
      </c>
      <c r="L38" s="13">
        <f>(SUNDRY!K42-K38)/K38</f>
        <v>-1</v>
      </c>
      <c r="M38" s="14">
        <v>18.7</v>
      </c>
    </row>
    <row r="39" spans="1:13" ht="15.75">
      <c r="K39" s="2">
        <v>21.37</v>
      </c>
      <c r="L39" s="13">
        <f>(SUNDRY!K43-K39)/K39</f>
        <v>-1</v>
      </c>
      <c r="M39" s="14">
        <v>18.7</v>
      </c>
    </row>
    <row r="40" spans="1:13" ht="15.75">
      <c r="K40" s="2">
        <v>13.77</v>
      </c>
      <c r="L40" s="13">
        <f>(SUNDRY!K44-K40)/K40</f>
        <v>-1</v>
      </c>
      <c r="M40" s="28">
        <v>13.77</v>
      </c>
    </row>
    <row r="41" spans="1:13" ht="16.5" customHeight="1">
      <c r="K41" s="2">
        <v>39.200000000000003</v>
      </c>
      <c r="L41" s="13">
        <f>(SUNDRY!K46-K41)/K41</f>
        <v>-1</v>
      </c>
      <c r="M41" s="14">
        <v>39.200000000000003</v>
      </c>
    </row>
    <row r="42" spans="1:13" ht="15.75">
      <c r="K42" s="2">
        <v>11.06</v>
      </c>
      <c r="L42" s="21"/>
      <c r="M42" s="14">
        <v>36.4</v>
      </c>
    </row>
    <row r="43" spans="1:13" ht="16.5" customHeight="1">
      <c r="K43" s="2">
        <v>6.23</v>
      </c>
      <c r="L43" s="21"/>
      <c r="M43" s="28"/>
    </row>
    <row r="44" spans="1:13" ht="16.5" customHeight="1">
      <c r="K44" s="2">
        <v>30.67</v>
      </c>
      <c r="L44" s="13">
        <f>(SUNDRY!K49-K44)/K44</f>
        <v>-1</v>
      </c>
      <c r="M44" s="14">
        <v>30.67</v>
      </c>
    </row>
    <row r="45" spans="1:13" ht="15.75">
      <c r="K45" s="2">
        <v>43.4</v>
      </c>
      <c r="L45" s="13">
        <f>(SUNDRY!K50-K45)/K45</f>
        <v>-1</v>
      </c>
      <c r="M45" s="14">
        <v>42.58</v>
      </c>
    </row>
    <row r="46" spans="1:13" ht="15.75" customHeight="1">
      <c r="K46" s="2">
        <v>16.940000000000001</v>
      </c>
      <c r="L46" s="13">
        <f>(SUNDRY!K51-K46)/K46</f>
        <v>-1</v>
      </c>
      <c r="M46" s="14">
        <v>16.940000000000001</v>
      </c>
    </row>
    <row r="47" spans="1:13" ht="15.75" customHeight="1">
      <c r="K47" s="2"/>
      <c r="L47" s="29"/>
      <c r="M47" s="28"/>
    </row>
    <row r="48" spans="1:13" ht="15.75">
      <c r="K48" s="2">
        <v>24</v>
      </c>
      <c r="L48" s="13">
        <f>(SUNDRY!K53-K48)/K48</f>
        <v>-1</v>
      </c>
      <c r="M48" s="14">
        <v>24</v>
      </c>
    </row>
    <row r="49" spans="11:13" ht="16.5" customHeight="1">
      <c r="K49" s="2"/>
      <c r="L49" s="13"/>
      <c r="M49" s="28"/>
    </row>
    <row r="50" spans="11:13" ht="16.5" customHeight="1">
      <c r="K50" s="2">
        <v>27.4</v>
      </c>
      <c r="L50" s="13">
        <f>(SUNDRY!K54-K50)/K50</f>
        <v>-1</v>
      </c>
      <c r="M50" s="28">
        <v>27.4</v>
      </c>
    </row>
    <row r="51" spans="11:13" ht="15.75" hidden="1">
      <c r="K51" s="2"/>
      <c r="L51" s="21"/>
      <c r="M51" s="30">
        <v>0.20880000000000001</v>
      </c>
    </row>
    <row r="52" spans="11:13" ht="15.75" hidden="1">
      <c r="K52" s="2"/>
      <c r="L52" s="29"/>
      <c r="M52" s="30">
        <v>0.19900000000000001</v>
      </c>
    </row>
    <row r="53" spans="11:13" ht="15.75" hidden="1">
      <c r="K53" s="2"/>
      <c r="L53" s="21"/>
      <c r="M53" s="30">
        <v>0.19020000000000001</v>
      </c>
    </row>
    <row r="54" spans="11:13" ht="15.75">
      <c r="K54" s="2"/>
      <c r="L54" s="29"/>
      <c r="M54" s="30">
        <v>0.21199999999999999</v>
      </c>
    </row>
    <row r="55" spans="11:13" ht="16.5" customHeight="1">
      <c r="K55" s="2">
        <v>59.62</v>
      </c>
      <c r="L55" s="13">
        <f>(SUNDRY!K55-K55)/K55</f>
        <v>-1</v>
      </c>
      <c r="M55" s="14">
        <v>57.38</v>
      </c>
    </row>
    <row r="56" spans="11:13" ht="16.5" customHeight="1">
      <c r="K56" s="2"/>
      <c r="L56" s="21"/>
      <c r="M56" s="28"/>
    </row>
    <row r="57" spans="11:13" ht="15.75">
      <c r="K57" s="2">
        <v>6.15</v>
      </c>
      <c r="L57" s="13" t="e">
        <f>(#REF!-K57)/K57</f>
        <v>#REF!</v>
      </c>
      <c r="M57" s="14">
        <v>5.29</v>
      </c>
    </row>
    <row r="58" spans="11:13" ht="17.25" customHeight="1">
      <c r="K58" s="2"/>
      <c r="L58" s="21"/>
      <c r="M58" s="14"/>
    </row>
    <row r="59" spans="11:13" ht="15.75">
      <c r="K59" s="2">
        <v>15.66</v>
      </c>
      <c r="L59" s="13">
        <f>('DAIRY-DAIRY ALT'!K4-K59)/K59</f>
        <v>-1</v>
      </c>
      <c r="M59" s="14">
        <v>14.43</v>
      </c>
    </row>
    <row r="60" spans="11:13" ht="15.75">
      <c r="K60" s="2">
        <v>15.66</v>
      </c>
      <c r="L60" s="13">
        <f>('DAIRY-DAIRY ALT'!K5-K60)/K60</f>
        <v>-1</v>
      </c>
      <c r="M60" s="14">
        <v>15.13</v>
      </c>
    </row>
    <row r="61" spans="11:13" ht="15.75">
      <c r="K61" s="2">
        <v>25.34</v>
      </c>
      <c r="L61" s="13">
        <f>('DAIRY-DAIRY ALT'!K6-K61)/K61</f>
        <v>-1</v>
      </c>
      <c r="M61" s="14">
        <v>22.71</v>
      </c>
    </row>
    <row r="62" spans="11:13" ht="15.75">
      <c r="K62" s="2">
        <v>25.34</v>
      </c>
      <c r="L62" s="13">
        <f>('DAIRY-DAIRY ALT'!K7-K62)/K62</f>
        <v>-1</v>
      </c>
      <c r="M62" s="14">
        <v>22.71</v>
      </c>
    </row>
    <row r="63" spans="11:13" ht="15.75">
      <c r="K63" s="2"/>
      <c r="L63" s="13"/>
      <c r="M63" s="14"/>
    </row>
    <row r="64" spans="11:13" ht="15.75">
      <c r="K64" s="2"/>
      <c r="L64" s="13"/>
      <c r="M64" s="14"/>
    </row>
    <row r="65" spans="11:13" ht="15.75">
      <c r="K65" s="2">
        <v>34.520000000000003</v>
      </c>
      <c r="L65" s="13">
        <f>('DAIRY-DAIRY ALT'!K8-K65)/K65</f>
        <v>-1</v>
      </c>
      <c r="M65" s="14">
        <v>31.43</v>
      </c>
    </row>
    <row r="66" spans="11:13" ht="15.75">
      <c r="K66" s="2"/>
      <c r="L66" s="21"/>
      <c r="M66" s="28"/>
    </row>
    <row r="67" spans="11:13" ht="15.75">
      <c r="K67" s="2">
        <v>52.68</v>
      </c>
      <c r="L67" s="13">
        <f>('DAIRY-DAIRY ALT'!K10-K67)/K67</f>
        <v>-1</v>
      </c>
      <c r="M67" s="14">
        <v>48.82</v>
      </c>
    </row>
    <row r="68" spans="11:13" ht="15.75">
      <c r="K68" s="2">
        <v>60.99</v>
      </c>
      <c r="L68" s="13">
        <f>('DAIRY-DAIRY ALT'!K11-K68)/K68</f>
        <v>-1</v>
      </c>
      <c r="M68" s="14">
        <v>57.6</v>
      </c>
    </row>
    <row r="69" spans="11:13" ht="15.75" customHeight="1">
      <c r="K69" s="2">
        <v>15.2</v>
      </c>
      <c r="L69" s="13">
        <f>('DAIRY-DAIRY ALT'!K12-K69)/K69</f>
        <v>-1</v>
      </c>
      <c r="M69" s="28">
        <v>14.7</v>
      </c>
    </row>
    <row r="70" spans="11:13" ht="15.75">
      <c r="K70" s="2">
        <v>15.1</v>
      </c>
      <c r="L70" s="13">
        <f>('DAIRY-DAIRY ALT'!K13-K70)/K70</f>
        <v>-1</v>
      </c>
      <c r="M70" s="14">
        <v>14.7</v>
      </c>
    </row>
    <row r="71" spans="11:13" ht="15.75">
      <c r="K71" s="2">
        <v>15.1</v>
      </c>
      <c r="L71" s="13">
        <f>('DAIRY-DAIRY ALT'!K14-K71)/K71</f>
        <v>-1</v>
      </c>
      <c r="M71" s="14">
        <v>14.7</v>
      </c>
    </row>
    <row r="72" spans="11:13" ht="15.75">
      <c r="K72" s="22">
        <v>16.559999999999999</v>
      </c>
      <c r="L72" s="13">
        <f>('DAIRY-DAIRY ALT'!K15-K72)/K72</f>
        <v>-1</v>
      </c>
      <c r="M72" s="31">
        <v>18.5</v>
      </c>
    </row>
    <row r="73" spans="11:13" ht="16.5" customHeight="1">
      <c r="K73" s="2">
        <v>16.559999999999999</v>
      </c>
      <c r="L73" s="13">
        <f>('DAIRY-DAIRY ALT'!K16-K73)/K73</f>
        <v>-1</v>
      </c>
      <c r="M73" s="31">
        <v>18.5</v>
      </c>
    </row>
    <row r="74" spans="11:13" ht="16.5" customHeight="1">
      <c r="K74" s="2"/>
      <c r="L74" s="21"/>
      <c r="M74" s="28"/>
    </row>
    <row r="75" spans="11:13" ht="15.75">
      <c r="K75" s="2"/>
      <c r="L75" s="13"/>
      <c r="M75" s="14"/>
    </row>
    <row r="76" spans="11:13" ht="15.75">
      <c r="K76" s="2"/>
      <c r="L76" s="13"/>
      <c r="M76" s="14"/>
    </row>
    <row r="77" spans="11:13" ht="16.5" customHeight="1">
      <c r="K77" s="2"/>
      <c r="L77" s="13"/>
      <c r="M77" s="14"/>
    </row>
    <row r="78" spans="11:13" ht="16.5" customHeight="1">
      <c r="K78" s="2">
        <v>12.9</v>
      </c>
      <c r="L78" s="13">
        <f>(SPICES!K3-K78)/K78</f>
        <v>-1</v>
      </c>
      <c r="M78" s="14">
        <v>12.9</v>
      </c>
    </row>
    <row r="79" spans="11:13" ht="16.5" customHeight="1">
      <c r="K79" s="2"/>
      <c r="L79" s="29"/>
      <c r="M79" s="28"/>
    </row>
    <row r="80" spans="11:13" ht="16.5" customHeight="1">
      <c r="K80" s="2">
        <v>2.76</v>
      </c>
      <c r="L80" s="21"/>
      <c r="M80" s="28"/>
    </row>
    <row r="81" spans="11:13" ht="16.5" customHeight="1">
      <c r="K81" s="2">
        <v>2.76</v>
      </c>
      <c r="L81" s="21"/>
      <c r="M81" s="28"/>
    </row>
    <row r="82" spans="11:13" ht="16.5" customHeight="1">
      <c r="K82" s="2">
        <v>6.29</v>
      </c>
      <c r="L82" s="13">
        <f>(SPICES!K7-K82)/K82</f>
        <v>-1</v>
      </c>
      <c r="M82" s="14">
        <v>7.66</v>
      </c>
    </row>
    <row r="83" spans="11:13" ht="16.5" customHeight="1">
      <c r="K83" s="2"/>
      <c r="L83" s="29"/>
      <c r="M83" s="28"/>
    </row>
    <row r="84" spans="11:13" ht="16.5" customHeight="1">
      <c r="K84" s="2">
        <v>4.79</v>
      </c>
      <c r="L84" s="13">
        <f>(SPICES!K9-K84)/K84</f>
        <v>-1</v>
      </c>
      <c r="M84" s="14">
        <v>5.86</v>
      </c>
    </row>
    <row r="85" spans="11:13" ht="16.5" customHeight="1">
      <c r="K85" s="2"/>
      <c r="L85" s="29"/>
      <c r="M85" s="28"/>
    </row>
    <row r="86" spans="11:13" ht="20.25" customHeight="1">
      <c r="K86" s="2">
        <v>11.94</v>
      </c>
      <c r="L86" s="13">
        <f>(SPICES!K11-K86)/K86</f>
        <v>-1</v>
      </c>
      <c r="M86" s="14">
        <v>14.6</v>
      </c>
    </row>
    <row r="87" spans="11:13" ht="16.5" customHeight="1">
      <c r="K87" s="2"/>
      <c r="L87" s="29"/>
      <c r="M87" s="14"/>
    </row>
    <row r="88" spans="11:13" ht="16.5" customHeight="1">
      <c r="K88" s="2">
        <v>5.54</v>
      </c>
      <c r="L88" s="13">
        <f>(SPICES!K13-K88)/K88</f>
        <v>-1</v>
      </c>
      <c r="M88" s="14">
        <v>6.77</v>
      </c>
    </row>
    <row r="89" spans="11:13" ht="16.5" customHeight="1">
      <c r="K89" s="2"/>
      <c r="L89" s="29"/>
      <c r="M89" s="28"/>
    </row>
    <row r="90" spans="11:13" ht="16.5" customHeight="1">
      <c r="K90" s="2">
        <v>6.46</v>
      </c>
      <c r="L90" s="13">
        <f>(SPICES!K15-K90)/K90</f>
        <v>-1</v>
      </c>
      <c r="M90" s="14">
        <v>7.95</v>
      </c>
    </row>
    <row r="91" spans="11:13" ht="16.5" customHeight="1">
      <c r="K91" s="2"/>
      <c r="L91" s="29"/>
      <c r="M91" s="28"/>
    </row>
    <row r="92" spans="11:13" ht="16.5" customHeight="1">
      <c r="K92" s="2">
        <v>8.25</v>
      </c>
      <c r="L92" s="13">
        <f>(SPICES!K17-K92)/K92</f>
        <v>-1</v>
      </c>
      <c r="M92" s="14">
        <v>4.82</v>
      </c>
    </row>
    <row r="93" spans="11:13" ht="16.5" customHeight="1">
      <c r="K93" s="2"/>
      <c r="L93" s="21"/>
      <c r="M93" s="28"/>
    </row>
    <row r="94" spans="11:13" ht="15.75" customHeight="1">
      <c r="K94" s="2">
        <v>3.46</v>
      </c>
      <c r="L94" s="13">
        <f>(SPICES!K19-K94)/K94</f>
        <v>-1</v>
      </c>
      <c r="M94" s="14">
        <v>4.2</v>
      </c>
    </row>
    <row r="95" spans="11:13" ht="16.5" customHeight="1">
      <c r="K95" s="2"/>
      <c r="L95" s="21"/>
      <c r="M95" s="28"/>
    </row>
    <row r="96" spans="11:13" ht="15.75">
      <c r="K96" s="2">
        <v>10.16</v>
      </c>
      <c r="L96" s="13">
        <f>(SPICES!K21-K96)/K96</f>
        <v>-1</v>
      </c>
      <c r="M96" s="14">
        <v>10.16</v>
      </c>
    </row>
    <row r="97" spans="11:13" ht="15.75">
      <c r="K97" s="2">
        <v>4.0599999999999996</v>
      </c>
      <c r="L97" s="13">
        <f>(SPICES!K22-K97)/K97</f>
        <v>-1</v>
      </c>
      <c r="M97" s="14">
        <v>4.95</v>
      </c>
    </row>
    <row r="98" spans="11:13" ht="15.75">
      <c r="K98" s="2"/>
      <c r="L98" s="29"/>
      <c r="M98" s="28"/>
    </row>
    <row r="99" spans="11:13" ht="15.75">
      <c r="K99" s="2">
        <v>11.66</v>
      </c>
      <c r="L99" s="13">
        <f>(SPICES!K24-K99)/K99</f>
        <v>-1</v>
      </c>
      <c r="M99" s="14">
        <v>14.38</v>
      </c>
    </row>
    <row r="100" spans="11:13" ht="16.5" customHeight="1">
      <c r="K100" s="2"/>
      <c r="L100" s="29"/>
      <c r="M100" s="28"/>
    </row>
    <row r="101" spans="11:13" ht="16.5" customHeight="1">
      <c r="K101" s="2">
        <v>32.659999999999997</v>
      </c>
      <c r="L101" s="13">
        <f>(SPICES!K26-K101)/K101</f>
        <v>-1</v>
      </c>
      <c r="M101" s="14">
        <v>33.25</v>
      </c>
    </row>
    <row r="102" spans="11:13" ht="16.5" customHeight="1">
      <c r="K102" s="2"/>
      <c r="L102" s="29"/>
      <c r="M102" s="28"/>
    </row>
    <row r="103" spans="11:13" ht="16.5" customHeight="1">
      <c r="K103" s="2">
        <v>5.43</v>
      </c>
      <c r="L103" s="13">
        <f>(SPICES!K28-K103)/K103</f>
        <v>-1</v>
      </c>
      <c r="M103" s="14">
        <v>6.85</v>
      </c>
    </row>
    <row r="104" spans="11:13" ht="15.75">
      <c r="K104" s="2"/>
      <c r="L104" s="29"/>
      <c r="M104" s="28"/>
    </row>
    <row r="105" spans="11:13" ht="16.5" customHeight="1">
      <c r="K105" s="2">
        <v>3.06</v>
      </c>
      <c r="L105" s="13">
        <f>(SPICES!K30-K105)/K105</f>
        <v>-1</v>
      </c>
      <c r="M105" s="14">
        <v>3.71</v>
      </c>
    </row>
    <row r="106" spans="11:13" ht="16.5" customHeight="1">
      <c r="K106" s="2"/>
      <c r="L106" s="29"/>
      <c r="M106" s="28"/>
    </row>
    <row r="107" spans="11:13" ht="16.5" customHeight="1">
      <c r="K107" s="2">
        <v>5.15</v>
      </c>
      <c r="L107" s="13">
        <f>(SPICES!K32-K107)/K107</f>
        <v>-1</v>
      </c>
      <c r="M107" s="14">
        <v>6.31</v>
      </c>
    </row>
    <row r="108" spans="11:13" ht="16.5" customHeight="1">
      <c r="K108" s="2"/>
      <c r="L108" s="21"/>
      <c r="M108" s="28"/>
    </row>
    <row r="109" spans="11:13" ht="16.5" customHeight="1">
      <c r="K109" s="2">
        <v>2.82</v>
      </c>
      <c r="L109" s="13">
        <f>(SPICES!K34-K109)/K109</f>
        <v>-1</v>
      </c>
      <c r="M109" s="14">
        <v>3.4</v>
      </c>
    </row>
    <row r="110" spans="11:13" ht="16.5" customHeight="1">
      <c r="K110" s="2"/>
      <c r="L110" s="21"/>
      <c r="M110" s="28"/>
    </row>
    <row r="111" spans="11:13" ht="16.5" customHeight="1">
      <c r="K111" s="2">
        <v>6.04</v>
      </c>
      <c r="L111" s="13">
        <f>(SPICES!K36-K111)/K111</f>
        <v>-1</v>
      </c>
      <c r="M111" s="14">
        <v>7.46</v>
      </c>
    </row>
    <row r="112" spans="11:13" ht="16.5" customHeight="1">
      <c r="K112" s="2">
        <v>5.43</v>
      </c>
      <c r="L112" s="13">
        <f>(SPICES!K37-K112)/K112</f>
        <v>-1</v>
      </c>
      <c r="M112" s="14">
        <v>6.61</v>
      </c>
    </row>
    <row r="113" spans="11:13" ht="16.5" customHeight="1">
      <c r="K113" s="2">
        <v>8.35</v>
      </c>
      <c r="L113" s="13">
        <f>(SPICES!K38-K113)/K113</f>
        <v>-1</v>
      </c>
      <c r="M113" s="14">
        <v>10.4</v>
      </c>
    </row>
    <row r="114" spans="11:13" ht="16.5" customHeight="1">
      <c r="K114" s="2">
        <v>6.9</v>
      </c>
      <c r="L114" s="13">
        <f>(SPICES!K39-K114)/K114</f>
        <v>-1</v>
      </c>
      <c r="M114" s="28">
        <v>8.5</v>
      </c>
    </row>
    <row r="115" spans="11:13" ht="16.5" customHeight="1">
      <c r="K115" s="2">
        <v>5.32</v>
      </c>
      <c r="L115" s="13">
        <f>(SPICES!K40-K115)/K115</f>
        <v>-1</v>
      </c>
      <c r="M115" s="14">
        <v>5.41</v>
      </c>
    </row>
    <row r="116" spans="11:13" ht="16.5" customHeight="1">
      <c r="K116" s="2"/>
      <c r="L116" s="29"/>
      <c r="M116" s="28"/>
    </row>
    <row r="117" spans="11:13" ht="16.5" customHeight="1">
      <c r="K117" s="2">
        <v>4.08</v>
      </c>
      <c r="L117" s="13">
        <f>(SPICES!K42-K117)/K117</f>
        <v>-1</v>
      </c>
      <c r="M117" s="14">
        <v>4.96</v>
      </c>
    </row>
    <row r="118" spans="11:13" ht="16.5" customHeight="1">
      <c r="K118" s="2"/>
      <c r="L118" s="29"/>
      <c r="M118" s="28"/>
    </row>
    <row r="119" spans="11:13" ht="16.5" customHeight="1">
      <c r="K119" s="2">
        <v>5.46</v>
      </c>
      <c r="L119" s="13">
        <f>(SPICES!K44-K119)/K119</f>
        <v>-1</v>
      </c>
      <c r="M119" s="14">
        <v>6.7</v>
      </c>
    </row>
    <row r="120" spans="11:13" ht="16.5" customHeight="1">
      <c r="K120" s="2"/>
      <c r="L120" s="29"/>
      <c r="M120" s="28"/>
    </row>
    <row r="121" spans="11:13" ht="16.5" customHeight="1">
      <c r="K121" s="2">
        <v>42.38</v>
      </c>
      <c r="L121" s="13">
        <f>(SPICES!K46-K121)/K121</f>
        <v>-1</v>
      </c>
      <c r="M121" s="14">
        <v>42.38</v>
      </c>
    </row>
    <row r="122" spans="11:13" ht="16.5" customHeight="1">
      <c r="K122" s="2"/>
      <c r="L122" s="21"/>
      <c r="M122" s="14"/>
    </row>
    <row r="123" spans="11:13" ht="16.5" customHeight="1">
      <c r="K123" s="2"/>
      <c r="L123" s="13"/>
      <c r="M123" s="14"/>
    </row>
    <row r="124" spans="11:13" ht="16.5" customHeight="1">
      <c r="K124" s="2"/>
      <c r="L124" s="21"/>
      <c r="M124" s="14"/>
    </row>
    <row r="125" spans="11:13" ht="16.5" customHeight="1">
      <c r="K125" s="2">
        <v>2.67</v>
      </c>
      <c r="L125" s="21"/>
      <c r="M125" s="14"/>
    </row>
    <row r="126" spans="11:13" ht="16.5" customHeight="1">
      <c r="K126" s="2">
        <v>17.940000000000001</v>
      </c>
      <c r="L126" s="13">
        <f>(SUNDRY!K58-K126)/K126</f>
        <v>-1</v>
      </c>
      <c r="M126" s="14">
        <v>14.03</v>
      </c>
    </row>
    <row r="127" spans="11:13" ht="30" customHeight="1">
      <c r="K127" s="32"/>
      <c r="L127" s="33" t="e">
        <f>SUM(L10:L126)/78</f>
        <v>#REF!</v>
      </c>
      <c r="M127" s="34"/>
    </row>
    <row r="128" spans="11:13" ht="30" customHeight="1">
      <c r="K128" s="32"/>
      <c r="L128" s="35"/>
      <c r="M128" s="34"/>
    </row>
    <row r="129" spans="11:13" ht="16.5" customHeight="1">
      <c r="K129" s="36">
        <v>18.48</v>
      </c>
      <c r="L129" s="13" t="e">
        <f>(#REF!-K129)/K129</f>
        <v>#REF!</v>
      </c>
      <c r="M129" s="14">
        <v>18.48</v>
      </c>
    </row>
    <row r="130" spans="11:13" ht="16.5" customHeight="1">
      <c r="K130" s="2"/>
      <c r="L130" s="21"/>
      <c r="M130" s="28"/>
    </row>
    <row r="131" spans="11:13" ht="16.5" customHeight="1">
      <c r="K131" s="2">
        <v>22.89</v>
      </c>
      <c r="L131" s="13" t="e">
        <f>(#REF!-K131)/K131</f>
        <v>#REF!</v>
      </c>
      <c r="M131" s="14">
        <v>21.45</v>
      </c>
    </row>
    <row r="132" spans="11:13" ht="15.75" customHeight="1">
      <c r="K132" s="2"/>
      <c r="L132" s="21"/>
      <c r="M132" s="28"/>
    </row>
    <row r="133" spans="11:13" ht="15.75" customHeight="1">
      <c r="K133" s="2">
        <v>28.22</v>
      </c>
      <c r="L133" s="13" t="e">
        <f>(#REF!-K133)/K133</f>
        <v>#REF!</v>
      </c>
      <c r="M133" s="14">
        <v>29.7</v>
      </c>
    </row>
    <row r="134" spans="11:13" ht="15.75" customHeight="1">
      <c r="K134" s="2"/>
      <c r="L134" s="21"/>
      <c r="M134" s="28"/>
    </row>
    <row r="135" spans="11:13" ht="15.75">
      <c r="K135" s="2">
        <v>9.4499999999999993</v>
      </c>
      <c r="L135" s="13" t="e">
        <f t="shared" ref="L135:L138" si="0">(#REF!-K135)/K135</f>
        <v>#REF!</v>
      </c>
      <c r="M135" s="28">
        <v>9.09</v>
      </c>
    </row>
    <row r="136" spans="11:13" ht="15.75">
      <c r="K136" s="2">
        <v>15.5</v>
      </c>
      <c r="L136" s="13" t="e">
        <f t="shared" si="0"/>
        <v>#REF!</v>
      </c>
      <c r="M136" s="28">
        <v>14.88</v>
      </c>
    </row>
    <row r="137" spans="11:13" ht="16.5" customHeight="1">
      <c r="K137" s="2">
        <v>14.66</v>
      </c>
      <c r="L137" s="13" t="e">
        <f t="shared" si="0"/>
        <v>#REF!</v>
      </c>
      <c r="M137" s="28">
        <v>14.06</v>
      </c>
    </row>
    <row r="138" spans="11:13" ht="16.5" customHeight="1">
      <c r="K138" s="2">
        <v>8.9700000000000006</v>
      </c>
      <c r="L138" s="13" t="e">
        <f t="shared" si="0"/>
        <v>#REF!</v>
      </c>
      <c r="M138" s="14">
        <v>8.6</v>
      </c>
    </row>
    <row r="139" spans="11:13" ht="16.5" customHeight="1">
      <c r="K139" s="2">
        <v>16.7</v>
      </c>
      <c r="L139" s="21"/>
      <c r="M139" s="28"/>
    </row>
    <row r="140" spans="11:13" ht="16.5" customHeight="1">
      <c r="K140" s="2"/>
      <c r="L140" s="21"/>
      <c r="M140" s="28"/>
    </row>
    <row r="141" spans="11:13" ht="16.5" customHeight="1">
      <c r="K141" s="2">
        <v>34.880000000000003</v>
      </c>
      <c r="L141" s="21"/>
      <c r="M141" s="28"/>
    </row>
    <row r="142" spans="11:13" ht="16.5" customHeight="1">
      <c r="K142" s="2">
        <v>27.38</v>
      </c>
      <c r="L142" s="21"/>
      <c r="M142" s="28"/>
    </row>
    <row r="143" spans="11:13" ht="15.75" customHeight="1">
      <c r="K143" s="2">
        <v>20.67</v>
      </c>
      <c r="L143" s="37" t="e">
        <f>(#REF!-K143)/K143</f>
        <v>#REF!</v>
      </c>
      <c r="M143" s="38">
        <v>20.67</v>
      </c>
    </row>
    <row r="144" spans="11:13" ht="16.5" customHeight="1">
      <c r="K144" s="2">
        <v>18.36</v>
      </c>
      <c r="L144" s="21"/>
      <c r="M144" s="28"/>
    </row>
    <row r="145" spans="11:13" ht="16.5" customHeight="1">
      <c r="K145" s="2">
        <v>33.42</v>
      </c>
      <c r="L145" s="37" t="e">
        <f>(#REF!-K145)/K145</f>
        <v>#REF!</v>
      </c>
      <c r="M145" s="38">
        <v>28.19</v>
      </c>
    </row>
    <row r="146" spans="11:13" ht="16.5" customHeight="1">
      <c r="K146" s="2">
        <v>17.73</v>
      </c>
      <c r="L146" s="21"/>
      <c r="M146" s="38"/>
    </row>
    <row r="147" spans="11:13" ht="16.5" customHeight="1">
      <c r="K147" s="2">
        <v>37.26</v>
      </c>
      <c r="L147" s="37" t="e">
        <f>(#REF!-K147)/K147</f>
        <v>#REF!</v>
      </c>
      <c r="M147" s="38">
        <v>29.66</v>
      </c>
    </row>
    <row r="148" spans="11:13" ht="16.5" customHeight="1">
      <c r="K148" s="2"/>
      <c r="L148" s="21"/>
      <c r="M148" s="28"/>
    </row>
    <row r="149" spans="11:13" ht="16.5" customHeight="1">
      <c r="K149" s="2"/>
      <c r="L149" s="21"/>
      <c r="M149" s="28"/>
    </row>
    <row r="150" spans="11:13" ht="16.5" customHeight="1">
      <c r="K150" s="2">
        <v>45.28</v>
      </c>
      <c r="L150" s="21"/>
      <c r="M150" s="28"/>
    </row>
    <row r="151" spans="11:13" ht="16.5" customHeight="1">
      <c r="K151" s="2">
        <v>16.04</v>
      </c>
      <c r="L151" s="21"/>
      <c r="M151" s="28"/>
    </row>
    <row r="152" spans="11:13" ht="16.5" customHeight="1">
      <c r="K152" s="2"/>
      <c r="L152" s="21"/>
      <c r="M152" s="28"/>
    </row>
    <row r="153" spans="11:13" ht="16.5" customHeight="1">
      <c r="K153" s="2">
        <v>40.630000000000003</v>
      </c>
      <c r="L153" s="13" t="e">
        <f t="shared" ref="L153:L157" si="1">(#REF!-K153)/K153</f>
        <v>#REF!</v>
      </c>
      <c r="M153" s="28">
        <v>25.38</v>
      </c>
    </row>
    <row r="154" spans="11:13" ht="16.5" customHeight="1">
      <c r="K154" s="2">
        <v>40.6</v>
      </c>
      <c r="L154" s="13" t="e">
        <f t="shared" si="1"/>
        <v>#REF!</v>
      </c>
      <c r="M154" s="28">
        <v>26.1</v>
      </c>
    </row>
    <row r="155" spans="11:13" ht="16.5" customHeight="1">
      <c r="K155" s="2">
        <v>40.89</v>
      </c>
      <c r="L155" s="13" t="e">
        <f t="shared" si="1"/>
        <v>#REF!</v>
      </c>
      <c r="M155" s="28">
        <v>26.1</v>
      </c>
    </row>
    <row r="156" spans="11:13" ht="16.5" customHeight="1">
      <c r="K156" s="2">
        <v>40.6</v>
      </c>
      <c r="L156" s="13" t="e">
        <f t="shared" si="1"/>
        <v>#REF!</v>
      </c>
      <c r="M156" s="28">
        <v>26.1</v>
      </c>
    </row>
    <row r="157" spans="11:13" ht="16.5" customHeight="1">
      <c r="K157" s="2">
        <v>17.09</v>
      </c>
      <c r="L157" s="13" t="e">
        <f t="shared" si="1"/>
        <v>#REF!</v>
      </c>
      <c r="M157" s="28">
        <v>17.09</v>
      </c>
    </row>
    <row r="158" spans="11:13" ht="15.75">
      <c r="K158" s="2"/>
      <c r="L158" s="13"/>
      <c r="M158" s="14"/>
    </row>
    <row r="159" spans="11:13" ht="15.75">
      <c r="K159" s="2">
        <v>17.440000000000001</v>
      </c>
      <c r="L159" s="13" t="e">
        <f t="shared" ref="L159:L162" si="2">(#REF!-K159)/K159</f>
        <v>#REF!</v>
      </c>
      <c r="M159" s="14">
        <v>18.52</v>
      </c>
    </row>
    <row r="160" spans="11:13" ht="16.5" customHeight="1">
      <c r="K160" s="2">
        <v>13.16</v>
      </c>
      <c r="L160" s="13" t="e">
        <f t="shared" si="2"/>
        <v>#REF!</v>
      </c>
      <c r="M160" s="28">
        <v>13.99</v>
      </c>
    </row>
    <row r="161" spans="11:13" ht="16.5" customHeight="1">
      <c r="K161" s="2">
        <v>33.76</v>
      </c>
      <c r="L161" s="13" t="e">
        <f t="shared" si="2"/>
        <v>#REF!</v>
      </c>
      <c r="M161" s="14">
        <v>36.85</v>
      </c>
    </row>
    <row r="162" spans="11:13" ht="16.5" customHeight="1">
      <c r="K162" s="2">
        <v>35.119999999999997</v>
      </c>
      <c r="L162" s="13" t="e">
        <f t="shared" si="2"/>
        <v>#REF!</v>
      </c>
      <c r="M162" s="28">
        <v>34.520000000000003</v>
      </c>
    </row>
    <row r="163" spans="11:13" ht="16.5" customHeight="1">
      <c r="K163" s="2"/>
      <c r="L163" s="29"/>
      <c r="M163" s="28"/>
    </row>
    <row r="164" spans="11:13" ht="16.5" customHeight="1">
      <c r="K164" s="2">
        <v>45.95</v>
      </c>
      <c r="L164" s="13" t="e">
        <f>(#REF!-K164)/K164</f>
        <v>#REF!</v>
      </c>
      <c r="M164" s="28">
        <v>45.95</v>
      </c>
    </row>
    <row r="165" spans="11:13" ht="16.5" customHeight="1">
      <c r="K165" s="2"/>
      <c r="L165" s="29"/>
      <c r="M165" s="28"/>
    </row>
    <row r="166" spans="11:13" ht="16.5" customHeight="1">
      <c r="K166" s="2">
        <v>6.18</v>
      </c>
      <c r="L166" s="13" t="e">
        <f>(#REF!-K166)/K166</f>
        <v>#REF!</v>
      </c>
      <c r="M166" s="14">
        <v>6.49</v>
      </c>
    </row>
    <row r="167" spans="11:13" ht="16.5" customHeight="1">
      <c r="K167" s="2"/>
      <c r="L167" s="29"/>
      <c r="M167" s="28"/>
    </row>
    <row r="168" spans="11:13" ht="16.5" customHeight="1">
      <c r="K168" s="2">
        <v>13.78</v>
      </c>
      <c r="L168" s="13" t="e">
        <f>(#REF!-K168)/K168</f>
        <v>#REF!</v>
      </c>
      <c r="M168" s="14">
        <v>15.6</v>
      </c>
    </row>
    <row r="169" spans="11:13" ht="16.5" customHeight="1">
      <c r="K169" s="2"/>
      <c r="L169" s="21"/>
      <c r="M169" s="28"/>
    </row>
    <row r="170" spans="11:13" ht="16.5" customHeight="1">
      <c r="K170" s="2">
        <v>37.9</v>
      </c>
      <c r="L170" s="13" t="e">
        <f>(#REF!-K170)/K170</f>
        <v>#REF!</v>
      </c>
      <c r="M170" s="14">
        <v>32.450000000000003</v>
      </c>
    </row>
    <row r="171" spans="11:13" ht="16.5" customHeight="1">
      <c r="K171" s="2"/>
      <c r="L171" s="29"/>
      <c r="M171" s="28"/>
    </row>
    <row r="172" spans="11:13" ht="23.25" customHeight="1">
      <c r="K172" s="2"/>
      <c r="L172" s="13"/>
      <c r="M172" s="14"/>
    </row>
    <row r="173" spans="11:13" ht="23.25" customHeight="1">
      <c r="K173" s="2"/>
      <c r="L173" s="13"/>
      <c r="M173" s="14"/>
    </row>
    <row r="174" spans="11:13" ht="23.25" customHeight="1">
      <c r="K174" s="2">
        <v>23.44</v>
      </c>
      <c r="L174" s="13" t="e">
        <f t="shared" ref="L174:L175" si="3">(#REF!-K174)/K174</f>
        <v>#REF!</v>
      </c>
      <c r="M174" s="14">
        <v>23.02</v>
      </c>
    </row>
    <row r="175" spans="11:13" ht="16.5" customHeight="1">
      <c r="K175" s="2">
        <v>18.75</v>
      </c>
      <c r="L175" s="13" t="e">
        <f t="shared" si="3"/>
        <v>#REF!</v>
      </c>
      <c r="M175" s="14">
        <v>20.73</v>
      </c>
    </row>
    <row r="176" spans="11:13" ht="30" customHeight="1">
      <c r="K176" s="32"/>
      <c r="L176" s="39" t="e">
        <f>SUM(L129:L175)/29</f>
        <v>#REF!</v>
      </c>
      <c r="M176" s="40"/>
    </row>
    <row r="177" spans="11:13" ht="30" customHeight="1">
      <c r="K177" s="32"/>
      <c r="L177" s="41"/>
      <c r="M177" s="42"/>
    </row>
    <row r="178" spans="11:13" ht="15.75" customHeight="1">
      <c r="K178" s="36">
        <v>35.880000000000003</v>
      </c>
      <c r="L178" s="13" t="e">
        <f>(#REF!-K178)/K178</f>
        <v>#REF!</v>
      </c>
      <c r="M178" s="14">
        <v>35.880000000000003</v>
      </c>
    </row>
    <row r="179" spans="11:13" ht="16.5" customHeight="1">
      <c r="K179" s="43"/>
      <c r="L179" s="29"/>
      <c r="M179" s="28"/>
    </row>
    <row r="180" spans="11:13" ht="16.5" customHeight="1">
      <c r="K180" s="36">
        <v>14.31</v>
      </c>
      <c r="L180" s="13" t="e">
        <f>(#REF!-K180)/K180</f>
        <v>#REF!</v>
      </c>
      <c r="M180" s="14">
        <v>12.81</v>
      </c>
    </row>
    <row r="181" spans="11:13" ht="16.5" customHeight="1">
      <c r="K181" s="43"/>
      <c r="L181" s="21"/>
      <c r="M181" s="28" t="s">
        <v>39</v>
      </c>
    </row>
    <row r="182" spans="11:13" ht="16.5" customHeight="1">
      <c r="K182" s="36">
        <v>64.06</v>
      </c>
      <c r="L182" s="13" t="e">
        <f>(#REF!-K182)/K182</f>
        <v>#REF!</v>
      </c>
      <c r="M182" s="14">
        <v>64.06</v>
      </c>
    </row>
    <row r="183" spans="11:13" ht="16.5" customHeight="1">
      <c r="K183" s="44"/>
      <c r="L183" s="29"/>
      <c r="M183" s="28"/>
    </row>
    <row r="184" spans="11:13" ht="16.5" customHeight="1">
      <c r="K184" s="45">
        <v>57.41</v>
      </c>
      <c r="L184" s="21"/>
      <c r="M184" s="28"/>
    </row>
    <row r="185" spans="11:13" ht="15.75">
      <c r="K185" s="44">
        <v>57.7</v>
      </c>
      <c r="L185" s="13" t="e">
        <f>(#REF!-K185)/K185</f>
        <v>#REF!</v>
      </c>
      <c r="M185" s="14">
        <v>57.7</v>
      </c>
    </row>
    <row r="186" spans="11:13" ht="30" customHeight="1">
      <c r="K186" s="32"/>
      <c r="L186" s="46" t="e">
        <f>SUM(L178:L185)/4</f>
        <v>#REF!</v>
      </c>
      <c r="M186" s="47"/>
    </row>
    <row r="187" spans="11:13" ht="40.5" customHeight="1">
      <c r="L187" s="48" t="s">
        <v>40</v>
      </c>
      <c r="M187" s="49"/>
    </row>
    <row r="188" spans="11:13" ht="24.75" customHeight="1">
      <c r="K188" s="50"/>
    </row>
    <row r="189" spans="11:13" ht="15.75" customHeight="1">
      <c r="K189" s="50"/>
    </row>
    <row r="190" spans="11:13" ht="40.5" customHeight="1">
      <c r="K190" s="51" t="s">
        <v>41</v>
      </c>
    </row>
    <row r="191" spans="11:13" ht="30.75" customHeight="1">
      <c r="K191" s="52">
        <v>104</v>
      </c>
      <c r="M191" s="53" t="s">
        <v>42</v>
      </c>
    </row>
    <row r="192" spans="11:13" ht="27.75" customHeight="1">
      <c r="K192" s="52">
        <v>104</v>
      </c>
      <c r="M192" s="53" t="s">
        <v>43</v>
      </c>
    </row>
    <row r="193" spans="11:13" ht="27.75" customHeight="1">
      <c r="K193" s="52"/>
      <c r="M193" s="53"/>
    </row>
    <row r="194" spans="11:13" ht="33.75" customHeight="1">
      <c r="K194" s="52">
        <v>103</v>
      </c>
      <c r="M194" s="53" t="s">
        <v>43</v>
      </c>
    </row>
    <row r="195" spans="11:13" ht="28.5" customHeight="1">
      <c r="K195" s="52">
        <v>39</v>
      </c>
      <c r="M195" s="53" t="s">
        <v>43</v>
      </c>
    </row>
    <row r="196" spans="11:13" ht="29.25" customHeight="1">
      <c r="K196" s="52">
        <v>88</v>
      </c>
      <c r="M196" s="53" t="s">
        <v>42</v>
      </c>
    </row>
    <row r="197" spans="11:13" ht="15.75">
      <c r="K197" s="52">
        <v>5</v>
      </c>
      <c r="M197" s="53" t="s">
        <v>43</v>
      </c>
    </row>
    <row r="198" spans="11:13" ht="15.75">
      <c r="K198" s="54">
        <f>SUM(K191:K197)</f>
        <v>443</v>
      </c>
      <c r="M198" s="53" t="s">
        <v>44</v>
      </c>
    </row>
    <row r="199" spans="11:13" ht="15.75">
      <c r="K199" s="50"/>
    </row>
    <row r="200" spans="11:13" ht="15.75">
      <c r="K200" s="50"/>
    </row>
    <row r="201" spans="11:13" ht="15.75">
      <c r="K201" s="55"/>
    </row>
    <row r="202" spans="11:13" ht="15.75">
      <c r="K202" s="56"/>
    </row>
    <row r="203" spans="11:13" ht="45" customHeight="1"/>
    <row r="204" spans="11:13" ht="45" customHeight="1">
      <c r="K204" s="50"/>
    </row>
    <row r="205" spans="11:13" ht="45" customHeight="1"/>
    <row r="206" spans="11:13" ht="45" customHeight="1"/>
    <row r="207" spans="11:13" ht="45" customHeight="1"/>
    <row r="208" spans="11:13" ht="45" customHeight="1"/>
    <row r="209" ht="45" customHeight="1"/>
    <row r="210" ht="45" customHeight="1"/>
    <row r="211" ht="45" customHeight="1"/>
    <row r="212" ht="45" customHeight="1"/>
    <row r="213" ht="45" customHeight="1"/>
    <row r="214" ht="45" customHeight="1"/>
    <row r="215" ht="45" customHeight="1"/>
    <row r="216" ht="45" customHeight="1"/>
    <row r="217" ht="45" customHeight="1"/>
    <row r="218" ht="45" customHeight="1"/>
    <row r="219" ht="45" customHeight="1"/>
    <row r="220" ht="45" customHeight="1"/>
    <row r="221" ht="45" customHeight="1"/>
    <row r="222" ht="45" customHeight="1"/>
    <row r="223" ht="45" customHeight="1"/>
    <row r="224" ht="45" customHeight="1"/>
    <row r="225" ht="45" customHeight="1"/>
  </sheetData>
  <sheetProtection algorithmName="SHA-512" hashValue="i0HUvcTDgODrsuhV2pnJZKhFhT2tRSDPnDNe3fxKEtZryDlmV923L0zv0fwNCca28FWsLm8kWFydDGUttR5Q5g==" saltValue="Fz5agRCzt7qZUxlSFFmlZA==" spinCount="100000" sheet="1" objects="1" scenarios="1" selectLockedCells="1"/>
  <mergeCells count="59">
    <mergeCell ref="B24:E24"/>
    <mergeCell ref="F24:G24"/>
    <mergeCell ref="B35:C35"/>
    <mergeCell ref="B36:C36"/>
    <mergeCell ref="D36:J36"/>
    <mergeCell ref="B25:E25"/>
    <mergeCell ref="F25:G25"/>
    <mergeCell ref="B26:E26"/>
    <mergeCell ref="F26:G26"/>
    <mergeCell ref="B27:C27"/>
    <mergeCell ref="B34:C34"/>
    <mergeCell ref="D34:J34"/>
    <mergeCell ref="D35:J35"/>
    <mergeCell ref="B33:C33"/>
    <mergeCell ref="D33:J33"/>
    <mergeCell ref="B21:E21"/>
    <mergeCell ref="F21:G21"/>
    <mergeCell ref="B22:E22"/>
    <mergeCell ref="F22:G22"/>
    <mergeCell ref="B23:E23"/>
    <mergeCell ref="F23:G23"/>
    <mergeCell ref="B18:E18"/>
    <mergeCell ref="F18:G18"/>
    <mergeCell ref="B19:E19"/>
    <mergeCell ref="F19:G19"/>
    <mergeCell ref="F20:G20"/>
    <mergeCell ref="B20:E20"/>
    <mergeCell ref="F15:G15"/>
    <mergeCell ref="B16:E16"/>
    <mergeCell ref="F16:G16"/>
    <mergeCell ref="B17:E17"/>
    <mergeCell ref="F17:G17"/>
    <mergeCell ref="A1:J1"/>
    <mergeCell ref="A2:J2"/>
    <mergeCell ref="A3:J3"/>
    <mergeCell ref="A4:J4"/>
    <mergeCell ref="A5:J5"/>
    <mergeCell ref="A6:J6"/>
    <mergeCell ref="A7:J7"/>
    <mergeCell ref="A8:J8"/>
    <mergeCell ref="C9:D9"/>
    <mergeCell ref="E9:F9"/>
    <mergeCell ref="G9:J9"/>
    <mergeCell ref="B10:J10"/>
    <mergeCell ref="A11:G11"/>
    <mergeCell ref="B31:C31"/>
    <mergeCell ref="D31:J31"/>
    <mergeCell ref="B32:C32"/>
    <mergeCell ref="D32:J32"/>
    <mergeCell ref="D27:J27"/>
    <mergeCell ref="B28:J28"/>
    <mergeCell ref="B29:J29"/>
    <mergeCell ref="B30:C30"/>
    <mergeCell ref="D30:J30"/>
    <mergeCell ref="F13:G13"/>
    <mergeCell ref="B13:E13"/>
    <mergeCell ref="B14:E14"/>
    <mergeCell ref="F14:G14"/>
    <mergeCell ref="B15:E15"/>
  </mergeCells>
  <conditionalFormatting sqref="L2:L126 L128:L187">
    <cfRule type="cellIs" dxfId="1" priority="1" operator="greaterThan">
      <formula>0</formula>
    </cfRule>
  </conditionalFormatting>
  <conditionalFormatting sqref="L2:L186">
    <cfRule type="cellIs" dxfId="0" priority="2" operator="lessThanOrEqual">
      <formula>0</formula>
    </cfRule>
  </conditionalFormatting>
  <printOptions horizontalCentered="1"/>
  <pageMargins left="0.25" right="0.25" top="0.25" bottom="0.25" header="0" footer="0"/>
  <pageSetup scale="6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fitToPage="1"/>
  </sheetPr>
  <dimension ref="A1:N59"/>
  <sheetViews>
    <sheetView workbookViewId="0">
      <selection activeCell="K17" sqref="K17"/>
    </sheetView>
  </sheetViews>
  <sheetFormatPr defaultColWidth="14.42578125" defaultRowHeight="15" customHeight="1"/>
  <cols>
    <col min="1" max="1" width="3.5703125" customWidth="1"/>
    <col min="2" max="2" width="33.7109375" customWidth="1"/>
    <col min="3" max="3" width="64.85546875" customWidth="1"/>
    <col min="4" max="4" width="12.42578125" customWidth="1"/>
    <col min="5" max="5" width="12.85546875" customWidth="1"/>
    <col min="6" max="6" width="11.7109375" customWidth="1"/>
    <col min="7" max="7" width="35.5703125" customWidth="1"/>
    <col min="8" max="8" width="9.5703125" customWidth="1"/>
    <col min="9" max="9" width="9.42578125" customWidth="1"/>
    <col min="10" max="10" width="14.42578125" hidden="1"/>
    <col min="11" max="11" width="11" customWidth="1"/>
    <col min="12" max="12" width="11.28515625" customWidth="1"/>
    <col min="13" max="13" width="11.42578125" customWidth="1"/>
  </cols>
  <sheetData>
    <row r="1" spans="1:13" ht="36.75">
      <c r="A1" s="60"/>
      <c r="B1" s="66" t="s">
        <v>93</v>
      </c>
      <c r="C1" s="67" t="s">
        <v>94</v>
      </c>
      <c r="D1" s="68" t="s">
        <v>95</v>
      </c>
      <c r="E1" s="69" t="s">
        <v>96</v>
      </c>
      <c r="F1" s="70" t="s">
        <v>97</v>
      </c>
      <c r="G1" s="71" t="s">
        <v>98</v>
      </c>
      <c r="H1" s="71" t="s">
        <v>99</v>
      </c>
      <c r="I1" s="72" t="s">
        <v>100</v>
      </c>
      <c r="J1" s="73" t="s">
        <v>101</v>
      </c>
      <c r="K1" s="74" t="s">
        <v>102</v>
      </c>
      <c r="L1" s="75" t="s">
        <v>103</v>
      </c>
      <c r="M1" s="71" t="s">
        <v>104</v>
      </c>
    </row>
    <row r="2" spans="1:13" ht="23.25">
      <c r="A2" s="57"/>
      <c r="B2" s="914" t="s">
        <v>1508</v>
      </c>
      <c r="C2" s="915"/>
      <c r="D2" s="915"/>
      <c r="E2" s="915"/>
      <c r="F2" s="915"/>
      <c r="G2" s="915"/>
      <c r="H2" s="915"/>
      <c r="I2" s="915"/>
      <c r="J2" s="915"/>
      <c r="K2" s="915"/>
      <c r="L2" s="915"/>
      <c r="M2" s="916"/>
    </row>
    <row r="3" spans="1:13" ht="15.75">
      <c r="A3" s="57">
        <v>1</v>
      </c>
      <c r="B3" s="116" t="s">
        <v>1509</v>
      </c>
      <c r="C3" s="94" t="s">
        <v>1510</v>
      </c>
      <c r="D3" s="109" t="s">
        <v>1511</v>
      </c>
      <c r="E3" s="665"/>
      <c r="F3" s="657"/>
      <c r="G3" s="96" t="s">
        <v>1512</v>
      </c>
      <c r="H3" s="97" t="s">
        <v>142</v>
      </c>
      <c r="I3" s="228">
        <v>24</v>
      </c>
      <c r="J3" s="91"/>
      <c r="K3" s="740"/>
      <c r="L3" s="156">
        <f>K3/36</f>
        <v>0</v>
      </c>
      <c r="M3" s="100">
        <f>I3*K3</f>
        <v>0</v>
      </c>
    </row>
    <row r="4" spans="1:13" ht="24.75">
      <c r="A4" s="57">
        <v>2</v>
      </c>
      <c r="B4" s="85" t="s">
        <v>1513</v>
      </c>
      <c r="C4" s="504" t="s">
        <v>1514</v>
      </c>
      <c r="D4" s="109" t="s">
        <v>1461</v>
      </c>
      <c r="E4" s="665"/>
      <c r="F4" s="685"/>
      <c r="G4" s="96" t="s">
        <v>1515</v>
      </c>
      <c r="H4" s="97" t="s">
        <v>142</v>
      </c>
      <c r="I4" s="98">
        <v>10</v>
      </c>
      <c r="J4" s="91"/>
      <c r="K4" s="770"/>
      <c r="L4" s="156">
        <f>K4/6</f>
        <v>0</v>
      </c>
      <c r="M4" s="100">
        <f>K4*I4</f>
        <v>0</v>
      </c>
    </row>
    <row r="5" spans="1:13" ht="15.75">
      <c r="A5" s="57">
        <v>3</v>
      </c>
      <c r="B5" s="76" t="s">
        <v>1516</v>
      </c>
      <c r="C5" s="94" t="s">
        <v>1517</v>
      </c>
      <c r="D5" s="109" t="s">
        <v>152</v>
      </c>
      <c r="E5" s="665"/>
      <c r="F5" s="657"/>
      <c r="G5" s="96" t="s">
        <v>1518</v>
      </c>
      <c r="H5" s="97" t="s">
        <v>142</v>
      </c>
      <c r="I5" s="98">
        <v>4</v>
      </c>
      <c r="J5" s="91">
        <f t="shared" ref="J5:J6" si="0">(K5*8%)+K5</f>
        <v>0</v>
      </c>
      <c r="K5" s="770"/>
      <c r="L5" s="156">
        <f>K5/25</f>
        <v>0</v>
      </c>
      <c r="M5" s="100">
        <f t="shared" ref="M5:M6" si="1">I5*K5</f>
        <v>0</v>
      </c>
    </row>
    <row r="6" spans="1:13" ht="15.75">
      <c r="A6" s="53">
        <v>4</v>
      </c>
      <c r="B6" s="85" t="s">
        <v>1519</v>
      </c>
      <c r="C6" s="505" t="s">
        <v>1520</v>
      </c>
      <c r="D6" s="87" t="s">
        <v>179</v>
      </c>
      <c r="E6" s="654"/>
      <c r="F6" s="655"/>
      <c r="G6" s="88" t="s">
        <v>1521</v>
      </c>
      <c r="H6" s="89" t="s">
        <v>142</v>
      </c>
      <c r="I6" s="90">
        <v>8</v>
      </c>
      <c r="J6" s="91">
        <f t="shared" si="0"/>
        <v>0</v>
      </c>
      <c r="K6" s="770"/>
      <c r="L6" s="161">
        <f>K6/5</f>
        <v>0</v>
      </c>
      <c r="M6" s="152">
        <f t="shared" si="1"/>
        <v>0</v>
      </c>
    </row>
    <row r="7" spans="1:13" ht="15.75">
      <c r="A7" s="53">
        <v>5</v>
      </c>
      <c r="B7" s="85" t="s">
        <v>1522</v>
      </c>
      <c r="C7" s="160" t="s">
        <v>1523</v>
      </c>
      <c r="D7" s="150" t="s">
        <v>400</v>
      </c>
      <c r="E7" s="670"/>
      <c r="F7" s="655"/>
      <c r="G7" s="368" t="s">
        <v>1524</v>
      </c>
      <c r="H7" s="461" t="s">
        <v>142</v>
      </c>
      <c r="I7" s="90">
        <v>5</v>
      </c>
      <c r="J7" s="127"/>
      <c r="K7" s="770"/>
      <c r="L7" s="161"/>
      <c r="M7" s="152"/>
    </row>
    <row r="8" spans="1:13" ht="15.75">
      <c r="A8" s="53">
        <v>6</v>
      </c>
      <c r="B8" s="116" t="s">
        <v>1525</v>
      </c>
      <c r="C8" s="135" t="s">
        <v>1526</v>
      </c>
      <c r="D8" s="342" t="s">
        <v>1527</v>
      </c>
      <c r="E8" s="777"/>
      <c r="F8" s="662"/>
      <c r="G8" s="180" t="s">
        <v>1528</v>
      </c>
      <c r="H8" s="506" t="s">
        <v>240</v>
      </c>
      <c r="I8" s="121">
        <v>10</v>
      </c>
      <c r="J8" s="91">
        <f t="shared" ref="J8:J39" si="2">(K8*8%)+K8</f>
        <v>0</v>
      </c>
      <c r="K8" s="770"/>
      <c r="L8" s="159">
        <f>K8/50</f>
        <v>0</v>
      </c>
      <c r="M8" s="123">
        <f>K8*10</f>
        <v>0</v>
      </c>
    </row>
    <row r="9" spans="1:13" ht="15.75">
      <c r="A9" s="53">
        <v>7</v>
      </c>
      <c r="B9" s="927" t="s">
        <v>1529</v>
      </c>
      <c r="C9" s="94" t="s">
        <v>1530</v>
      </c>
      <c r="D9" s="302"/>
      <c r="E9" s="665"/>
      <c r="F9" s="657"/>
      <c r="G9" s="168" t="s">
        <v>1531</v>
      </c>
      <c r="H9" s="97" t="s">
        <v>911</v>
      </c>
      <c r="I9" s="228">
        <v>11</v>
      </c>
      <c r="J9" s="91">
        <f t="shared" si="2"/>
        <v>0</v>
      </c>
      <c r="K9" s="738"/>
      <c r="L9" s="156"/>
      <c r="M9" s="100">
        <f>I9*K9</f>
        <v>0</v>
      </c>
    </row>
    <row r="10" spans="1:13" ht="15.75">
      <c r="B10" s="928"/>
      <c r="C10" s="146"/>
      <c r="D10" s="126"/>
      <c r="E10" s="664"/>
      <c r="F10" s="653"/>
      <c r="G10" s="79"/>
      <c r="H10" s="80"/>
      <c r="I10" s="81"/>
      <c r="J10" s="91">
        <f t="shared" si="2"/>
        <v>0</v>
      </c>
      <c r="K10" s="738"/>
      <c r="L10" s="158" t="s">
        <v>1532</v>
      </c>
      <c r="M10" s="115"/>
    </row>
    <row r="11" spans="1:13" ht="15.75">
      <c r="A11" s="53">
        <v>8</v>
      </c>
      <c r="B11" s="76" t="s">
        <v>1533</v>
      </c>
      <c r="C11" s="131" t="s">
        <v>1534</v>
      </c>
      <c r="D11" s="109" t="s">
        <v>1535</v>
      </c>
      <c r="E11" s="665"/>
      <c r="F11" s="657"/>
      <c r="G11" s="96" t="s">
        <v>1536</v>
      </c>
      <c r="H11" s="97" t="s">
        <v>142</v>
      </c>
      <c r="I11" s="98">
        <v>5</v>
      </c>
      <c r="J11" s="91">
        <f t="shared" si="2"/>
        <v>0</v>
      </c>
      <c r="K11" s="739"/>
      <c r="L11" s="156">
        <f>K11/17</f>
        <v>0</v>
      </c>
      <c r="M11" s="100">
        <f>I11*K11</f>
        <v>0</v>
      </c>
    </row>
    <row r="12" spans="1:13" ht="15.75">
      <c r="B12" s="112"/>
      <c r="C12" s="157"/>
      <c r="D12" s="126"/>
      <c r="E12" s="664"/>
      <c r="F12" s="653"/>
      <c r="G12" s="79"/>
      <c r="H12" s="80"/>
      <c r="I12" s="81"/>
      <c r="J12" s="91">
        <f t="shared" si="2"/>
        <v>0</v>
      </c>
      <c r="K12" s="740"/>
      <c r="L12" s="158" t="s">
        <v>1537</v>
      </c>
      <c r="M12" s="293"/>
    </row>
    <row r="13" spans="1:13" ht="15.75">
      <c r="A13" s="53">
        <v>9</v>
      </c>
      <c r="B13" s="76" t="s">
        <v>1538</v>
      </c>
      <c r="C13" s="131" t="s">
        <v>1539</v>
      </c>
      <c r="D13" s="109" t="s">
        <v>1540</v>
      </c>
      <c r="E13" s="665"/>
      <c r="F13" s="657"/>
      <c r="G13" s="96" t="s">
        <v>1541</v>
      </c>
      <c r="H13" s="97" t="s">
        <v>142</v>
      </c>
      <c r="I13" s="98">
        <v>10</v>
      </c>
      <c r="J13" s="91">
        <f t="shared" si="2"/>
        <v>0</v>
      </c>
      <c r="K13" s="738"/>
      <c r="L13" s="156">
        <f>K13/6</f>
        <v>0</v>
      </c>
      <c r="M13" s="100">
        <f>I13*K13</f>
        <v>0</v>
      </c>
    </row>
    <row r="14" spans="1:13" ht="15.75">
      <c r="B14" s="112"/>
      <c r="C14" s="157"/>
      <c r="D14" s="126"/>
      <c r="E14" s="664"/>
      <c r="F14" s="653"/>
      <c r="G14" s="79" t="s">
        <v>167</v>
      </c>
      <c r="H14" s="80"/>
      <c r="I14" s="81"/>
      <c r="J14" s="91">
        <f t="shared" si="2"/>
        <v>0</v>
      </c>
      <c r="K14" s="740"/>
      <c r="L14" s="158" t="s">
        <v>1542</v>
      </c>
      <c r="M14" s="293"/>
    </row>
    <row r="15" spans="1:13" ht="15.75">
      <c r="A15" s="53">
        <v>10</v>
      </c>
      <c r="B15" s="76" t="s">
        <v>1543</v>
      </c>
      <c r="C15" s="94" t="s">
        <v>1544</v>
      </c>
      <c r="D15" s="109" t="s">
        <v>1545</v>
      </c>
      <c r="E15" s="665"/>
      <c r="F15" s="657"/>
      <c r="G15" s="96" t="s">
        <v>1546</v>
      </c>
      <c r="H15" s="97" t="s">
        <v>142</v>
      </c>
      <c r="I15" s="98">
        <v>2</v>
      </c>
      <c r="J15" s="91">
        <f t="shared" si="2"/>
        <v>0</v>
      </c>
      <c r="K15" s="740"/>
      <c r="L15" s="156">
        <f>K15/12</f>
        <v>0</v>
      </c>
      <c r="M15" s="100">
        <f>I15*K15</f>
        <v>0</v>
      </c>
    </row>
    <row r="16" spans="1:13" ht="15.75">
      <c r="A16" s="53">
        <v>11</v>
      </c>
      <c r="B16" s="76" t="s">
        <v>1547</v>
      </c>
      <c r="C16" s="138" t="s">
        <v>1548</v>
      </c>
      <c r="D16" s="109" t="s">
        <v>1549</v>
      </c>
      <c r="E16" s="665"/>
      <c r="F16" s="657"/>
      <c r="G16" s="168" t="s">
        <v>1550</v>
      </c>
      <c r="H16" s="97" t="s">
        <v>269</v>
      </c>
      <c r="I16" s="98">
        <v>20</v>
      </c>
      <c r="J16" s="91">
        <f t="shared" si="2"/>
        <v>0</v>
      </c>
      <c r="K16" s="770"/>
      <c r="L16" s="156">
        <f t="shared" ref="L16:L17" si="3">K16</f>
        <v>0</v>
      </c>
      <c r="M16" s="100">
        <f t="shared" ref="M16:M18" si="4">(I16*K16)</f>
        <v>0</v>
      </c>
    </row>
    <row r="17" spans="1:13" ht="15.75">
      <c r="A17" s="53">
        <v>12</v>
      </c>
      <c r="B17" s="76" t="s">
        <v>1551</v>
      </c>
      <c r="C17" s="138" t="s">
        <v>1552</v>
      </c>
      <c r="D17" s="109" t="s">
        <v>1549</v>
      </c>
      <c r="E17" s="665"/>
      <c r="F17" s="657"/>
      <c r="G17" s="96" t="s">
        <v>1553</v>
      </c>
      <c r="H17" s="97" t="s">
        <v>269</v>
      </c>
      <c r="I17" s="98">
        <v>5</v>
      </c>
      <c r="J17" s="91">
        <f t="shared" si="2"/>
        <v>0</v>
      </c>
      <c r="K17" s="770"/>
      <c r="L17" s="156">
        <f t="shared" si="3"/>
        <v>0</v>
      </c>
      <c r="M17" s="100">
        <f t="shared" si="4"/>
        <v>0</v>
      </c>
    </row>
    <row r="18" spans="1:13" ht="15.75">
      <c r="A18" s="53">
        <v>13</v>
      </c>
      <c r="B18" s="76" t="s">
        <v>1554</v>
      </c>
      <c r="C18" s="138" t="s">
        <v>1555</v>
      </c>
      <c r="D18" s="109" t="s">
        <v>1556</v>
      </c>
      <c r="E18" s="665"/>
      <c r="F18" s="657"/>
      <c r="G18" s="96" t="s">
        <v>1557</v>
      </c>
      <c r="H18" s="97" t="s">
        <v>142</v>
      </c>
      <c r="I18" s="98">
        <v>8</v>
      </c>
      <c r="J18" s="91">
        <f t="shared" si="2"/>
        <v>0</v>
      </c>
      <c r="K18" s="770"/>
      <c r="L18" s="156">
        <f>K18/144</f>
        <v>0</v>
      </c>
      <c r="M18" s="100">
        <f t="shared" si="4"/>
        <v>0</v>
      </c>
    </row>
    <row r="19" spans="1:13" ht="15.75">
      <c r="A19" s="53">
        <v>14</v>
      </c>
      <c r="B19" s="116"/>
      <c r="C19" s="505" t="s">
        <v>1558</v>
      </c>
      <c r="D19" s="87" t="s">
        <v>152</v>
      </c>
      <c r="E19" s="654"/>
      <c r="F19" s="655"/>
      <c r="G19" s="88" t="s">
        <v>1559</v>
      </c>
      <c r="H19" s="89" t="s">
        <v>142</v>
      </c>
      <c r="I19" s="90">
        <v>7</v>
      </c>
      <c r="J19" s="91">
        <f t="shared" si="2"/>
        <v>0</v>
      </c>
      <c r="K19" s="770"/>
      <c r="L19" s="161">
        <f t="shared" ref="L19:L21" si="5">K19/25</f>
        <v>0</v>
      </c>
      <c r="M19" s="152">
        <f t="shared" ref="M19:M25" si="6">I19*K19</f>
        <v>0</v>
      </c>
    </row>
    <row r="20" spans="1:13" ht="15.75">
      <c r="A20" s="53">
        <v>15</v>
      </c>
      <c r="B20" s="116"/>
      <c r="C20" s="505" t="s">
        <v>1560</v>
      </c>
      <c r="D20" s="87" t="s">
        <v>152</v>
      </c>
      <c r="E20" s="654"/>
      <c r="F20" s="655"/>
      <c r="G20" s="88" t="s">
        <v>1559</v>
      </c>
      <c r="H20" s="89" t="s">
        <v>142</v>
      </c>
      <c r="I20" s="90">
        <v>37</v>
      </c>
      <c r="J20" s="91">
        <f t="shared" si="2"/>
        <v>0</v>
      </c>
      <c r="K20" s="770"/>
      <c r="L20" s="161">
        <f t="shared" si="5"/>
        <v>0</v>
      </c>
      <c r="M20" s="152">
        <f t="shared" si="6"/>
        <v>0</v>
      </c>
    </row>
    <row r="21" spans="1:13" ht="15.75">
      <c r="A21" s="53">
        <v>16</v>
      </c>
      <c r="B21" s="112"/>
      <c r="C21" s="505" t="s">
        <v>1561</v>
      </c>
      <c r="D21" s="87" t="s">
        <v>152</v>
      </c>
      <c r="E21" s="654"/>
      <c r="F21" s="655"/>
      <c r="G21" s="88" t="s">
        <v>1559</v>
      </c>
      <c r="H21" s="89" t="s">
        <v>142</v>
      </c>
      <c r="I21" s="90">
        <v>19</v>
      </c>
      <c r="J21" s="91">
        <f t="shared" si="2"/>
        <v>0</v>
      </c>
      <c r="K21" s="770"/>
      <c r="L21" s="161">
        <f t="shared" si="5"/>
        <v>0</v>
      </c>
      <c r="M21" s="152">
        <f t="shared" si="6"/>
        <v>0</v>
      </c>
    </row>
    <row r="22" spans="1:13" ht="15.75">
      <c r="A22" s="53">
        <v>17</v>
      </c>
      <c r="B22" s="85" t="s">
        <v>1562</v>
      </c>
      <c r="C22" s="86" t="s">
        <v>1563</v>
      </c>
      <c r="D22" s="150" t="s">
        <v>1564</v>
      </c>
      <c r="E22" s="670" t="s">
        <v>39</v>
      </c>
      <c r="F22" s="655"/>
      <c r="G22" s="96" t="s">
        <v>230</v>
      </c>
      <c r="H22" s="89" t="s">
        <v>1565</v>
      </c>
      <c r="I22" s="90">
        <v>8</v>
      </c>
      <c r="J22" s="91">
        <f t="shared" si="2"/>
        <v>0</v>
      </c>
      <c r="K22" s="770"/>
      <c r="L22" s="161">
        <f>K22/32</f>
        <v>0</v>
      </c>
      <c r="M22" s="152">
        <f t="shared" si="6"/>
        <v>0</v>
      </c>
    </row>
    <row r="23" spans="1:13" ht="15.75">
      <c r="A23" s="53">
        <v>18</v>
      </c>
      <c r="B23" s="76" t="s">
        <v>1566</v>
      </c>
      <c r="C23" s="94" t="s">
        <v>1567</v>
      </c>
      <c r="D23" s="109" t="s">
        <v>1568</v>
      </c>
      <c r="E23" s="665"/>
      <c r="F23" s="657"/>
      <c r="G23" s="96" t="s">
        <v>1569</v>
      </c>
      <c r="H23" s="97" t="s">
        <v>142</v>
      </c>
      <c r="I23" s="98">
        <v>5</v>
      </c>
      <c r="J23" s="91">
        <f t="shared" si="2"/>
        <v>0</v>
      </c>
      <c r="K23" s="770"/>
      <c r="L23" s="156">
        <f>K23/4</f>
        <v>0</v>
      </c>
      <c r="M23" s="100">
        <f t="shared" si="6"/>
        <v>0</v>
      </c>
    </row>
    <row r="24" spans="1:13" ht="15.75">
      <c r="A24" s="53">
        <v>19</v>
      </c>
      <c r="B24" s="76" t="s">
        <v>1570</v>
      </c>
      <c r="C24" s="94" t="s">
        <v>1571</v>
      </c>
      <c r="D24" s="109" t="s">
        <v>1572</v>
      </c>
      <c r="E24" s="665"/>
      <c r="F24" s="657"/>
      <c r="G24" s="96" t="s">
        <v>1573</v>
      </c>
      <c r="H24" s="97" t="s">
        <v>142</v>
      </c>
      <c r="I24" s="98">
        <v>15</v>
      </c>
      <c r="J24" s="91">
        <f t="shared" si="2"/>
        <v>0</v>
      </c>
      <c r="K24" s="770"/>
      <c r="L24" s="156">
        <f>K24/200</f>
        <v>0</v>
      </c>
      <c r="M24" s="100">
        <f t="shared" si="6"/>
        <v>0</v>
      </c>
    </row>
    <row r="25" spans="1:13" ht="15.75">
      <c r="A25" s="53">
        <v>20</v>
      </c>
      <c r="B25" s="76" t="s">
        <v>1574</v>
      </c>
      <c r="C25" s="160" t="s">
        <v>1575</v>
      </c>
      <c r="D25" s="95" t="s">
        <v>1576</v>
      </c>
      <c r="E25" s="656"/>
      <c r="F25" s="657"/>
      <c r="G25" s="507" t="s">
        <v>1577</v>
      </c>
      <c r="H25" s="97" t="s">
        <v>142</v>
      </c>
      <c r="I25" s="98">
        <v>9</v>
      </c>
      <c r="J25" s="91">
        <f t="shared" si="2"/>
        <v>0</v>
      </c>
      <c r="K25" s="738"/>
      <c r="L25" s="156">
        <f>K25/720</f>
        <v>0</v>
      </c>
      <c r="M25" s="100">
        <f t="shared" si="6"/>
        <v>0</v>
      </c>
    </row>
    <row r="26" spans="1:13" ht="15.75">
      <c r="A26" s="53">
        <v>21</v>
      </c>
      <c r="B26" s="76" t="s">
        <v>1578</v>
      </c>
      <c r="C26" s="131" t="s">
        <v>1579</v>
      </c>
      <c r="D26" s="109" t="s">
        <v>1580</v>
      </c>
      <c r="E26" s="665"/>
      <c r="F26" s="657"/>
      <c r="G26" s="96" t="s">
        <v>1581</v>
      </c>
      <c r="H26" s="97" t="s">
        <v>142</v>
      </c>
      <c r="I26" s="98">
        <v>25</v>
      </c>
      <c r="J26" s="91">
        <f t="shared" si="2"/>
        <v>0</v>
      </c>
      <c r="K26" s="739"/>
      <c r="L26" s="156">
        <f>K26/200</f>
        <v>0</v>
      </c>
      <c r="M26" s="100">
        <f>K26*I26</f>
        <v>0</v>
      </c>
    </row>
    <row r="27" spans="1:13" ht="15.75">
      <c r="B27" s="112"/>
      <c r="C27" s="157" t="s">
        <v>1582</v>
      </c>
      <c r="D27" s="126"/>
      <c r="E27" s="664"/>
      <c r="F27" s="653"/>
      <c r="G27" s="79" t="s">
        <v>167</v>
      </c>
      <c r="H27" s="80"/>
      <c r="I27" s="81"/>
      <c r="J27" s="91">
        <f t="shared" si="2"/>
        <v>0</v>
      </c>
      <c r="K27" s="740"/>
      <c r="L27" s="158"/>
      <c r="M27" s="115"/>
    </row>
    <row r="28" spans="1:13" ht="15.75">
      <c r="A28" s="53">
        <v>22</v>
      </c>
      <c r="B28" s="76" t="s">
        <v>1583</v>
      </c>
      <c r="C28" s="132" t="s">
        <v>1584</v>
      </c>
      <c r="D28" s="109"/>
      <c r="E28" s="665"/>
      <c r="F28" s="657"/>
      <c r="G28" s="96" t="s">
        <v>230</v>
      </c>
      <c r="H28" s="97" t="s">
        <v>142</v>
      </c>
      <c r="I28" s="98">
        <v>40</v>
      </c>
      <c r="J28" s="91">
        <f t="shared" si="2"/>
        <v>0</v>
      </c>
      <c r="K28" s="738"/>
      <c r="L28" s="156">
        <f>K28/500</f>
        <v>0</v>
      </c>
      <c r="M28" s="100">
        <f>I28*K28</f>
        <v>0</v>
      </c>
    </row>
    <row r="29" spans="1:13" ht="15.75">
      <c r="B29" s="112"/>
      <c r="C29" s="157" t="s">
        <v>1585</v>
      </c>
      <c r="D29" s="78" t="s">
        <v>1586</v>
      </c>
      <c r="E29" s="664"/>
      <c r="F29" s="653"/>
      <c r="G29" s="79" t="s">
        <v>1587</v>
      </c>
      <c r="H29" s="80"/>
      <c r="I29" s="81"/>
      <c r="J29" s="91">
        <f t="shared" si="2"/>
        <v>0</v>
      </c>
      <c r="K29" s="738"/>
      <c r="L29" s="158"/>
      <c r="M29" s="293"/>
    </row>
    <row r="30" spans="1:13" ht="15.75">
      <c r="A30" s="53">
        <v>23</v>
      </c>
      <c r="B30" s="116" t="s">
        <v>1588</v>
      </c>
      <c r="C30" s="135" t="s">
        <v>1589</v>
      </c>
      <c r="D30" s="118" t="s">
        <v>1590</v>
      </c>
      <c r="E30" s="663"/>
      <c r="F30" s="662"/>
      <c r="G30" s="199" t="s">
        <v>1591</v>
      </c>
      <c r="H30" s="120" t="s">
        <v>142</v>
      </c>
      <c r="I30" s="121">
        <v>10</v>
      </c>
      <c r="J30" s="91">
        <f t="shared" si="2"/>
        <v>0</v>
      </c>
      <c r="K30" s="739"/>
      <c r="L30" s="159">
        <f>K30/285</f>
        <v>0</v>
      </c>
      <c r="M30" s="143">
        <f>K30*I30</f>
        <v>0</v>
      </c>
    </row>
    <row r="31" spans="1:13" ht="15.75">
      <c r="B31" s="116"/>
      <c r="C31" s="136" t="s">
        <v>1592</v>
      </c>
      <c r="D31" s="130"/>
      <c r="E31" s="667"/>
      <c r="F31" s="662"/>
      <c r="G31" s="119" t="s">
        <v>167</v>
      </c>
      <c r="H31" s="120"/>
      <c r="I31" s="121"/>
      <c r="J31" s="106">
        <f t="shared" si="2"/>
        <v>0</v>
      </c>
      <c r="K31" s="738"/>
      <c r="L31" s="301"/>
      <c r="M31" s="155"/>
    </row>
    <row r="32" spans="1:13" ht="15.75">
      <c r="A32" s="53">
        <v>24</v>
      </c>
      <c r="B32" s="76" t="s">
        <v>1593</v>
      </c>
      <c r="C32" s="94" t="s">
        <v>1594</v>
      </c>
      <c r="D32" s="95" t="s">
        <v>1595</v>
      </c>
      <c r="E32" s="730"/>
      <c r="F32" s="657"/>
      <c r="G32" s="96" t="s">
        <v>1596</v>
      </c>
      <c r="H32" s="97" t="s">
        <v>142</v>
      </c>
      <c r="I32" s="98">
        <v>100</v>
      </c>
      <c r="J32" s="106">
        <f t="shared" si="2"/>
        <v>0</v>
      </c>
      <c r="K32" s="732"/>
      <c r="L32" s="169">
        <f>K32/100</f>
        <v>0</v>
      </c>
      <c r="M32" s="100">
        <f t="shared" ref="M32:M33" si="7">I32*K32</f>
        <v>0</v>
      </c>
    </row>
    <row r="33" spans="1:13" ht="15.75">
      <c r="A33" s="53">
        <v>25</v>
      </c>
      <c r="B33" s="116"/>
      <c r="C33" s="117" t="s">
        <v>1597</v>
      </c>
      <c r="D33" s="118" t="s">
        <v>1598</v>
      </c>
      <c r="E33" s="669"/>
      <c r="F33" s="662"/>
      <c r="G33" s="119" t="s">
        <v>1599</v>
      </c>
      <c r="H33" s="120" t="s">
        <v>142</v>
      </c>
      <c r="I33" s="121">
        <v>2</v>
      </c>
      <c r="J33" s="140">
        <f t="shared" si="2"/>
        <v>0</v>
      </c>
      <c r="K33" s="733"/>
      <c r="L33" s="200">
        <f>K33/576</f>
        <v>0</v>
      </c>
      <c r="M33" s="123">
        <f t="shared" si="7"/>
        <v>0</v>
      </c>
    </row>
    <row r="34" spans="1:13" ht="15.75">
      <c r="B34" s="112"/>
      <c r="C34" s="125"/>
      <c r="D34" s="126"/>
      <c r="E34" s="652"/>
      <c r="F34" s="653"/>
      <c r="G34" s="79" t="s">
        <v>167</v>
      </c>
      <c r="H34" s="80"/>
      <c r="I34" s="81"/>
      <c r="J34" s="114">
        <f t="shared" si="2"/>
        <v>0</v>
      </c>
      <c r="K34" s="734"/>
      <c r="L34" s="178"/>
      <c r="M34" s="115"/>
    </row>
    <row r="35" spans="1:13" ht="15.75">
      <c r="A35" s="53">
        <v>26</v>
      </c>
      <c r="B35" s="116" t="s">
        <v>1600</v>
      </c>
      <c r="C35" s="305" t="s">
        <v>1601</v>
      </c>
      <c r="D35" s="118" t="s">
        <v>1595</v>
      </c>
      <c r="E35" s="661"/>
      <c r="F35" s="662"/>
      <c r="G35" s="119" t="s">
        <v>1602</v>
      </c>
      <c r="H35" s="120" t="s">
        <v>142</v>
      </c>
      <c r="I35" s="121">
        <v>150</v>
      </c>
      <c r="J35" s="82">
        <f t="shared" si="2"/>
        <v>0</v>
      </c>
      <c r="K35" s="738"/>
      <c r="L35" s="328">
        <f>K35/100</f>
        <v>0</v>
      </c>
      <c r="M35" s="123">
        <f>I35*K35</f>
        <v>0</v>
      </c>
    </row>
    <row r="36" spans="1:13" ht="15.75">
      <c r="B36" s="112"/>
      <c r="C36" s="117"/>
      <c r="D36" s="130"/>
      <c r="E36" s="663"/>
      <c r="F36" s="662"/>
      <c r="G36" s="119" t="s">
        <v>167</v>
      </c>
      <c r="H36" s="120"/>
      <c r="I36" s="121"/>
      <c r="J36" s="91">
        <f t="shared" si="2"/>
        <v>0</v>
      </c>
      <c r="K36" s="740"/>
      <c r="L36" s="159"/>
      <c r="M36" s="293"/>
    </row>
    <row r="37" spans="1:13" ht="15.75">
      <c r="A37" s="53">
        <v>27</v>
      </c>
      <c r="B37" s="85" t="s">
        <v>1603</v>
      </c>
      <c r="C37" s="254" t="s">
        <v>1604</v>
      </c>
      <c r="D37" s="87" t="s">
        <v>1605</v>
      </c>
      <c r="E37" s="654"/>
      <c r="F37" s="655"/>
      <c r="G37" s="88" t="s">
        <v>1606</v>
      </c>
      <c r="H37" s="89" t="s">
        <v>142</v>
      </c>
      <c r="I37" s="90">
        <v>14</v>
      </c>
      <c r="J37" s="91">
        <f t="shared" si="2"/>
        <v>0</v>
      </c>
      <c r="K37" s="740"/>
      <c r="L37" s="161">
        <f>K37/12</f>
        <v>0</v>
      </c>
      <c r="M37" s="93">
        <f t="shared" ref="M37:M38" si="8">I37*K37</f>
        <v>0</v>
      </c>
    </row>
    <row r="38" spans="1:13" ht="15.75">
      <c r="A38" s="53">
        <v>28</v>
      </c>
      <c r="B38" s="76" t="s">
        <v>1607</v>
      </c>
      <c r="C38" s="132" t="s">
        <v>1608</v>
      </c>
      <c r="D38" s="109" t="s">
        <v>1609</v>
      </c>
      <c r="E38" s="665"/>
      <c r="F38" s="657"/>
      <c r="G38" s="168" t="s">
        <v>1610</v>
      </c>
      <c r="H38" s="97" t="s">
        <v>142</v>
      </c>
      <c r="I38" s="98">
        <v>13</v>
      </c>
      <c r="J38" s="91">
        <f t="shared" si="2"/>
        <v>0</v>
      </c>
      <c r="K38" s="738"/>
      <c r="L38" s="156">
        <f>K38/200</f>
        <v>0</v>
      </c>
      <c r="M38" s="100">
        <f t="shared" si="8"/>
        <v>0</v>
      </c>
    </row>
    <row r="39" spans="1:13" ht="15.75">
      <c r="B39" s="116"/>
      <c r="C39" s="136"/>
      <c r="D39" s="130"/>
      <c r="E39" s="663"/>
      <c r="F39" s="662"/>
      <c r="G39" s="119" t="s">
        <v>167</v>
      </c>
      <c r="H39" s="120"/>
      <c r="I39" s="121"/>
      <c r="J39" s="91">
        <f t="shared" si="2"/>
        <v>0</v>
      </c>
      <c r="K39" s="740"/>
      <c r="L39" s="159"/>
      <c r="M39" s="155"/>
    </row>
    <row r="40" spans="1:13" ht="15.75">
      <c r="A40" s="53">
        <v>29</v>
      </c>
      <c r="B40" s="85" t="s">
        <v>1611</v>
      </c>
      <c r="C40" s="160" t="s">
        <v>1612</v>
      </c>
      <c r="D40" s="87" t="s">
        <v>1613</v>
      </c>
      <c r="E40" s="654"/>
      <c r="F40" s="655"/>
      <c r="G40" s="88" t="s">
        <v>1614</v>
      </c>
      <c r="H40" s="89" t="s">
        <v>142</v>
      </c>
      <c r="I40" s="90">
        <v>10</v>
      </c>
      <c r="J40" s="127"/>
      <c r="K40" s="744"/>
      <c r="L40" s="161">
        <f t="shared" ref="L40:L41" si="9">K40/200</f>
        <v>0</v>
      </c>
      <c r="M40" s="152">
        <f t="shared" ref="M40:M41" si="10">I40*K40</f>
        <v>0</v>
      </c>
    </row>
    <row r="41" spans="1:13" ht="15.75">
      <c r="A41" s="53">
        <v>30</v>
      </c>
      <c r="B41" s="116" t="s">
        <v>1615</v>
      </c>
      <c r="C41" s="153" t="s">
        <v>1616</v>
      </c>
      <c r="D41" s="118" t="s">
        <v>1580</v>
      </c>
      <c r="E41" s="663"/>
      <c r="F41" s="662"/>
      <c r="G41" s="119" t="s">
        <v>1617</v>
      </c>
      <c r="H41" s="120" t="s">
        <v>142</v>
      </c>
      <c r="I41" s="121">
        <v>2</v>
      </c>
      <c r="J41" s="187">
        <f t="shared" ref="J41:J44" si="11">(K41*8%)+K41</f>
        <v>0</v>
      </c>
      <c r="K41" s="744"/>
      <c r="L41" s="159">
        <f t="shared" si="9"/>
        <v>0</v>
      </c>
      <c r="M41" s="143">
        <f t="shared" si="10"/>
        <v>0</v>
      </c>
    </row>
    <row r="42" spans="1:13" ht="15.75">
      <c r="A42" s="53">
        <v>31</v>
      </c>
      <c r="B42" s="76" t="s">
        <v>1618</v>
      </c>
      <c r="C42" s="160" t="s">
        <v>1619</v>
      </c>
      <c r="D42" s="87" t="s">
        <v>1620</v>
      </c>
      <c r="E42" s="654"/>
      <c r="F42" s="655"/>
      <c r="G42" s="88" t="s">
        <v>1621</v>
      </c>
      <c r="H42" s="89" t="s">
        <v>142</v>
      </c>
      <c r="I42" s="90">
        <v>10</v>
      </c>
      <c r="J42" s="91">
        <f t="shared" si="11"/>
        <v>0</v>
      </c>
      <c r="K42" s="744"/>
      <c r="L42" s="161">
        <f t="shared" ref="L42:L43" si="12">K42/12</f>
        <v>0</v>
      </c>
      <c r="M42" s="93">
        <f t="shared" ref="M42:M43" si="13">K42*L42</f>
        <v>0</v>
      </c>
    </row>
    <row r="43" spans="1:13" ht="15.75">
      <c r="A43" s="53">
        <v>32</v>
      </c>
      <c r="B43" s="112"/>
      <c r="C43" s="395"/>
      <c r="D43" s="87" t="s">
        <v>1620</v>
      </c>
      <c r="E43" s="654"/>
      <c r="F43" s="655"/>
      <c r="G43" s="88" t="s">
        <v>1622</v>
      </c>
      <c r="H43" s="89" t="s">
        <v>142</v>
      </c>
      <c r="I43" s="90">
        <v>8</v>
      </c>
      <c r="J43" s="91">
        <f t="shared" si="11"/>
        <v>0</v>
      </c>
      <c r="K43" s="732"/>
      <c r="L43" s="161">
        <f t="shared" si="12"/>
        <v>0</v>
      </c>
      <c r="M43" s="93">
        <f t="shared" si="13"/>
        <v>0</v>
      </c>
    </row>
    <row r="44" spans="1:13" ht="15.75">
      <c r="A44" s="53">
        <v>33</v>
      </c>
      <c r="B44" s="112" t="s">
        <v>1623</v>
      </c>
      <c r="C44" s="213" t="s">
        <v>1624</v>
      </c>
      <c r="D44" s="78" t="s">
        <v>1625</v>
      </c>
      <c r="E44" s="664"/>
      <c r="F44" s="653"/>
      <c r="G44" s="79" t="s">
        <v>1626</v>
      </c>
      <c r="H44" s="80" t="s">
        <v>142</v>
      </c>
      <c r="I44" s="81">
        <v>250</v>
      </c>
      <c r="J44" s="508">
        <f t="shared" si="11"/>
        <v>0</v>
      </c>
      <c r="K44" s="734"/>
      <c r="L44" s="183">
        <f>K44/120</f>
        <v>0</v>
      </c>
      <c r="M44" s="84">
        <f>I44*K44</f>
        <v>0</v>
      </c>
    </row>
    <row r="45" spans="1:13" ht="15.75">
      <c r="A45" s="53">
        <v>34</v>
      </c>
      <c r="B45" s="427" t="s">
        <v>1627</v>
      </c>
      <c r="C45" s="160" t="s">
        <v>1628</v>
      </c>
      <c r="D45" s="87" t="s">
        <v>1629</v>
      </c>
      <c r="E45" s="654"/>
      <c r="F45" s="655"/>
      <c r="G45" s="151" t="s">
        <v>1630</v>
      </c>
      <c r="H45" s="509" t="s">
        <v>142</v>
      </c>
      <c r="I45" s="429">
        <v>20</v>
      </c>
      <c r="J45" s="127"/>
      <c r="K45" s="744"/>
      <c r="L45" s="161">
        <f>K45/128</f>
        <v>0</v>
      </c>
      <c r="M45" s="152">
        <f>K45*I45</f>
        <v>0</v>
      </c>
    </row>
    <row r="46" spans="1:13" ht="15.75">
      <c r="A46" s="53">
        <v>35</v>
      </c>
      <c r="B46" s="76" t="s">
        <v>1631</v>
      </c>
      <c r="C46" s="138" t="s">
        <v>1632</v>
      </c>
      <c r="D46" s="109" t="s">
        <v>1633</v>
      </c>
      <c r="E46" s="665"/>
      <c r="F46" s="662"/>
      <c r="G46" s="119" t="s">
        <v>1634</v>
      </c>
      <c r="H46" s="120" t="s">
        <v>142</v>
      </c>
      <c r="I46" s="98">
        <v>15</v>
      </c>
      <c r="J46" s="91">
        <f t="shared" ref="J46:J58" si="14">(K46*8%)+K46</f>
        <v>0</v>
      </c>
      <c r="K46" s="744"/>
      <c r="L46" s="156">
        <f>K46/4</f>
        <v>0</v>
      </c>
      <c r="M46" s="100">
        <f>(I46*K46)</f>
        <v>0</v>
      </c>
    </row>
    <row r="47" spans="1:13" ht="24">
      <c r="A47" s="53">
        <v>36</v>
      </c>
      <c r="B47" s="76" t="s">
        <v>1635</v>
      </c>
      <c r="C47" s="138" t="s">
        <v>1636</v>
      </c>
      <c r="D47" s="109" t="s">
        <v>1412</v>
      </c>
      <c r="E47" s="665"/>
      <c r="F47" s="657"/>
      <c r="G47" s="96" t="s">
        <v>1637</v>
      </c>
      <c r="H47" s="97" t="s">
        <v>142</v>
      </c>
      <c r="I47" s="98">
        <v>3</v>
      </c>
      <c r="J47" s="91">
        <f t="shared" si="14"/>
        <v>0</v>
      </c>
      <c r="K47" s="744"/>
      <c r="L47" s="156">
        <f t="shared" ref="L47:L48" si="15">K47/1</f>
        <v>0</v>
      </c>
      <c r="M47" s="100">
        <f t="shared" ref="M47:M48" si="16">I47*K47</f>
        <v>0</v>
      </c>
    </row>
    <row r="48" spans="1:13" ht="15.75">
      <c r="A48" s="53">
        <v>37</v>
      </c>
      <c r="B48" s="76" t="s">
        <v>1638</v>
      </c>
      <c r="C48" s="138" t="s">
        <v>1639</v>
      </c>
      <c r="D48" s="109" t="s">
        <v>1412</v>
      </c>
      <c r="E48" s="665"/>
      <c r="F48" s="657"/>
      <c r="G48" s="96" t="s">
        <v>1640</v>
      </c>
      <c r="H48" s="97" t="s">
        <v>142</v>
      </c>
      <c r="I48" s="98">
        <v>16</v>
      </c>
      <c r="J48" s="91">
        <f t="shared" si="14"/>
        <v>0</v>
      </c>
      <c r="K48" s="744"/>
      <c r="L48" s="156">
        <f t="shared" si="15"/>
        <v>0</v>
      </c>
      <c r="M48" s="100">
        <f t="shared" si="16"/>
        <v>0</v>
      </c>
    </row>
    <row r="49" spans="1:14" ht="15.75">
      <c r="A49" s="53">
        <v>38</v>
      </c>
      <c r="B49" s="85" t="s">
        <v>1641</v>
      </c>
      <c r="C49" s="160" t="s">
        <v>1642</v>
      </c>
      <c r="D49" s="87" t="s">
        <v>1568</v>
      </c>
      <c r="E49" s="654"/>
      <c r="F49" s="655"/>
      <c r="G49" s="88" t="s">
        <v>1643</v>
      </c>
      <c r="H49" s="89" t="s">
        <v>142</v>
      </c>
      <c r="I49" s="90">
        <v>20</v>
      </c>
      <c r="J49" s="91">
        <f t="shared" si="14"/>
        <v>0</v>
      </c>
      <c r="K49" s="744"/>
      <c r="L49" s="161">
        <f t="shared" ref="L49:L50" si="17">K49/4</f>
        <v>0</v>
      </c>
      <c r="M49" s="152">
        <f>(I49*K49)</f>
        <v>0</v>
      </c>
    </row>
    <row r="50" spans="1:14" ht="24">
      <c r="A50" s="53">
        <v>39</v>
      </c>
      <c r="B50" s="116" t="s">
        <v>1644</v>
      </c>
      <c r="C50" s="153" t="s">
        <v>1645</v>
      </c>
      <c r="D50" s="118" t="s">
        <v>1568</v>
      </c>
      <c r="E50" s="663"/>
      <c r="F50" s="662"/>
      <c r="G50" s="119" t="s">
        <v>1646</v>
      </c>
      <c r="H50" s="120" t="s">
        <v>142</v>
      </c>
      <c r="I50" s="121">
        <v>6</v>
      </c>
      <c r="J50" s="91">
        <f t="shared" si="14"/>
        <v>0</v>
      </c>
      <c r="K50" s="744"/>
      <c r="L50" s="159">
        <f t="shared" si="17"/>
        <v>0</v>
      </c>
      <c r="M50" s="123">
        <f>K50*I50</f>
        <v>0</v>
      </c>
    </row>
    <row r="51" spans="1:14" ht="15.75">
      <c r="A51" s="53">
        <v>40</v>
      </c>
      <c r="B51" s="76" t="s">
        <v>1647</v>
      </c>
      <c r="C51" s="94" t="s">
        <v>1648</v>
      </c>
      <c r="D51" s="109" t="s">
        <v>1649</v>
      </c>
      <c r="E51" s="665"/>
      <c r="F51" s="657"/>
      <c r="G51" s="96" t="s">
        <v>1650</v>
      </c>
      <c r="H51" s="97" t="s">
        <v>142</v>
      </c>
      <c r="I51" s="98">
        <v>50</v>
      </c>
      <c r="J51" s="91">
        <f t="shared" si="14"/>
        <v>0</v>
      </c>
      <c r="K51" s="738"/>
      <c r="L51" s="156">
        <f>K51/12</f>
        <v>0</v>
      </c>
      <c r="M51" s="100">
        <f>I51*K51</f>
        <v>0</v>
      </c>
    </row>
    <row r="52" spans="1:14" ht="15.75">
      <c r="B52" s="112"/>
      <c r="C52" s="125"/>
      <c r="D52" s="126"/>
      <c r="E52" s="664"/>
      <c r="F52" s="653"/>
      <c r="G52" s="79" t="s">
        <v>167</v>
      </c>
      <c r="H52" s="80"/>
      <c r="I52" s="81"/>
      <c r="J52" s="91">
        <f t="shared" si="14"/>
        <v>0</v>
      </c>
      <c r="K52" s="740"/>
      <c r="L52" s="158"/>
      <c r="M52" s="115"/>
    </row>
    <row r="53" spans="1:14" ht="15.75">
      <c r="A53" s="53">
        <v>41</v>
      </c>
      <c r="B53" s="85" t="s">
        <v>1651</v>
      </c>
      <c r="C53" s="86" t="s">
        <v>1652</v>
      </c>
      <c r="D53" s="87" t="s">
        <v>1653</v>
      </c>
      <c r="E53" s="654"/>
      <c r="F53" s="655"/>
      <c r="G53" s="88" t="s">
        <v>1654</v>
      </c>
      <c r="H53" s="89" t="s">
        <v>142</v>
      </c>
      <c r="I53" s="90">
        <v>15</v>
      </c>
      <c r="J53" s="91">
        <f t="shared" si="14"/>
        <v>0</v>
      </c>
      <c r="K53" s="740"/>
      <c r="L53" s="161">
        <f t="shared" ref="L53:L54" si="18">K53/12</f>
        <v>0</v>
      </c>
      <c r="M53" s="152">
        <f t="shared" ref="M53:M55" si="19">I53*K53</f>
        <v>0</v>
      </c>
    </row>
    <row r="54" spans="1:14" ht="15.75">
      <c r="A54" s="53">
        <v>42</v>
      </c>
      <c r="B54" s="112" t="s">
        <v>1655</v>
      </c>
      <c r="C54" s="213" t="s">
        <v>1656</v>
      </c>
      <c r="D54" s="78" t="s">
        <v>1657</v>
      </c>
      <c r="E54" s="664"/>
      <c r="F54" s="653"/>
      <c r="G54" s="79" t="s">
        <v>1658</v>
      </c>
      <c r="H54" s="80" t="s">
        <v>142</v>
      </c>
      <c r="I54" s="81">
        <v>22</v>
      </c>
      <c r="J54" s="106">
        <f t="shared" si="14"/>
        <v>0</v>
      </c>
      <c r="K54" s="770"/>
      <c r="L54" s="158">
        <f t="shared" si="18"/>
        <v>0</v>
      </c>
      <c r="M54" s="115">
        <f t="shared" si="19"/>
        <v>0</v>
      </c>
    </row>
    <row r="55" spans="1:14" ht="15.75">
      <c r="A55" s="53">
        <v>43</v>
      </c>
      <c r="B55" s="76" t="s">
        <v>1659</v>
      </c>
      <c r="C55" s="131" t="s">
        <v>1660</v>
      </c>
      <c r="D55" s="109" t="s">
        <v>152</v>
      </c>
      <c r="E55" s="665"/>
      <c r="F55" s="657"/>
      <c r="G55" s="96" t="s">
        <v>1661</v>
      </c>
      <c r="H55" s="97" t="s">
        <v>142</v>
      </c>
      <c r="I55" s="98">
        <v>5</v>
      </c>
      <c r="J55" s="91">
        <f t="shared" si="14"/>
        <v>0</v>
      </c>
      <c r="K55" s="739"/>
      <c r="L55" s="156">
        <f>K55/25</f>
        <v>0</v>
      </c>
      <c r="M55" s="100">
        <f t="shared" si="19"/>
        <v>0</v>
      </c>
      <c r="N55" s="510"/>
    </row>
    <row r="56" spans="1:14" ht="15.75">
      <c r="B56" s="112"/>
      <c r="C56" s="226" t="s">
        <v>1662</v>
      </c>
      <c r="D56" s="126"/>
      <c r="E56" s="664"/>
      <c r="F56" s="653"/>
      <c r="G56" s="79" t="s">
        <v>1663</v>
      </c>
      <c r="H56" s="80"/>
      <c r="I56" s="81"/>
      <c r="J56" s="127">
        <f t="shared" si="14"/>
        <v>0</v>
      </c>
      <c r="K56" s="740"/>
      <c r="L56" s="158" t="s">
        <v>198</v>
      </c>
      <c r="M56" s="293"/>
      <c r="N56" s="510"/>
    </row>
    <row r="57" spans="1:14" ht="15.75">
      <c r="A57" s="53">
        <v>44</v>
      </c>
      <c r="B57" s="404" t="s">
        <v>1664</v>
      </c>
      <c r="C57" s="511" t="s">
        <v>1665</v>
      </c>
      <c r="D57" s="87" t="s">
        <v>1666</v>
      </c>
      <c r="E57" s="654"/>
      <c r="F57" s="655"/>
      <c r="G57" s="512" t="s">
        <v>1667</v>
      </c>
      <c r="H57" s="513" t="s">
        <v>142</v>
      </c>
      <c r="I57" s="166">
        <v>60</v>
      </c>
      <c r="J57" s="127">
        <f t="shared" si="14"/>
        <v>0</v>
      </c>
      <c r="K57" s="744"/>
      <c r="L57" s="161">
        <f>K57/24</f>
        <v>0</v>
      </c>
      <c r="M57" s="152">
        <f t="shared" ref="M57:M58" si="20">I57*K57</f>
        <v>0</v>
      </c>
      <c r="N57" s="514"/>
    </row>
    <row r="58" spans="1:14" ht="36" customHeight="1">
      <c r="A58" s="53">
        <v>45</v>
      </c>
      <c r="B58" s="85" t="s">
        <v>1668</v>
      </c>
      <c r="C58" s="515" t="s">
        <v>1669</v>
      </c>
      <c r="D58" s="87" t="s">
        <v>1670</v>
      </c>
      <c r="E58" s="654"/>
      <c r="F58" s="655"/>
      <c r="G58" s="88" t="s">
        <v>1671</v>
      </c>
      <c r="H58" s="513" t="s">
        <v>142</v>
      </c>
      <c r="I58" s="166">
        <v>3</v>
      </c>
      <c r="J58" s="127">
        <f t="shared" si="14"/>
        <v>0</v>
      </c>
      <c r="K58" s="744"/>
      <c r="L58" s="161">
        <f>K58/96</f>
        <v>0</v>
      </c>
      <c r="M58" s="152">
        <f t="shared" si="20"/>
        <v>0</v>
      </c>
      <c r="N58" s="514"/>
    </row>
    <row r="59" spans="1:14" ht="23.25">
      <c r="B59" s="937" t="s">
        <v>1672</v>
      </c>
      <c r="C59" s="915"/>
      <c r="D59" s="915"/>
      <c r="E59" s="915"/>
      <c r="F59" s="915"/>
      <c r="G59" s="915"/>
      <c r="H59" s="915"/>
      <c r="I59" s="915"/>
      <c r="J59" s="64"/>
      <c r="K59" s="952">
        <f>SUM(M3:M58)</f>
        <v>0</v>
      </c>
      <c r="L59" s="915"/>
      <c r="M59" s="916"/>
    </row>
  </sheetData>
  <sheetProtection algorithmName="SHA-512" hashValue="DhRPvv15NwElpqbEYQnn4/ayjARR45elsH0AeyoAtMXcWh3XdNJNDX/4ykvoCSppdJIM9oG8YDclZISE1ahfYA==" saltValue="3m+T9/6SwTH41vFyO+fiTw==" spinCount="100000" sheet="1" objects="1" scenarios="1" selectLockedCells="1"/>
  <mergeCells count="4">
    <mergeCell ref="B2:M2"/>
    <mergeCell ref="B9:B10"/>
    <mergeCell ref="B59:I59"/>
    <mergeCell ref="K59:M59"/>
  </mergeCells>
  <pageMargins left="0.25" right="0.25" top="0.25" bottom="0.25" header="0.25" footer="0.25"/>
  <pageSetup scale="55" fitToHeight="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fitToPage="1"/>
  </sheetPr>
  <dimension ref="A1:M21"/>
  <sheetViews>
    <sheetView workbookViewId="0">
      <selection activeCell="K17" sqref="K17"/>
    </sheetView>
  </sheetViews>
  <sheetFormatPr defaultColWidth="14.42578125" defaultRowHeight="15" customHeight="1"/>
  <cols>
    <col min="1" max="1" width="3.5703125" customWidth="1"/>
    <col min="2" max="2" width="33.7109375" customWidth="1"/>
    <col min="3" max="3" width="64.85546875" customWidth="1"/>
    <col min="4" max="4" width="12.42578125" customWidth="1"/>
    <col min="5" max="5" width="12.85546875" customWidth="1"/>
    <col min="6" max="6" width="11.7109375" customWidth="1"/>
    <col min="7" max="7" width="35.5703125" customWidth="1"/>
    <col min="8" max="8" width="9.5703125" customWidth="1"/>
    <col min="9" max="9" width="9.42578125" customWidth="1"/>
    <col min="10" max="10" width="14.42578125" hidden="1"/>
    <col min="11" max="11" width="11" customWidth="1"/>
    <col min="12" max="12" width="11.28515625" customWidth="1"/>
    <col min="13" max="13" width="11.42578125" customWidth="1"/>
  </cols>
  <sheetData>
    <row r="1" spans="1:13">
      <c r="A1" s="60"/>
      <c r="B1" s="66" t="s">
        <v>93</v>
      </c>
      <c r="C1" s="67" t="s">
        <v>94</v>
      </c>
      <c r="D1" s="68" t="s">
        <v>95</v>
      </c>
      <c r="E1" s="69" t="s">
        <v>96</v>
      </c>
      <c r="F1" s="70" t="s">
        <v>97</v>
      </c>
      <c r="G1" s="71" t="s">
        <v>98</v>
      </c>
      <c r="H1" s="71" t="s">
        <v>99</v>
      </c>
      <c r="I1" s="72" t="s">
        <v>100</v>
      </c>
      <c r="J1" s="73" t="s">
        <v>101</v>
      </c>
      <c r="K1" s="74" t="s">
        <v>102</v>
      </c>
      <c r="L1" s="75" t="s">
        <v>103</v>
      </c>
      <c r="M1" s="71" t="s">
        <v>104</v>
      </c>
    </row>
    <row r="2" spans="1:13">
      <c r="A2" s="57"/>
      <c r="B2" s="914" t="s">
        <v>1673</v>
      </c>
      <c r="C2" s="915"/>
      <c r="D2" s="915"/>
      <c r="E2" s="915"/>
      <c r="F2" s="915"/>
      <c r="G2" s="915"/>
      <c r="H2" s="915"/>
      <c r="I2" s="915"/>
      <c r="J2" s="915"/>
      <c r="K2" s="915"/>
      <c r="L2" s="915"/>
      <c r="M2" s="916"/>
    </row>
    <row r="3" spans="1:13">
      <c r="A3" s="57">
        <v>1</v>
      </c>
      <c r="B3" s="76" t="s">
        <v>1674</v>
      </c>
      <c r="C3" s="138" t="s">
        <v>1675</v>
      </c>
      <c r="D3" s="109" t="s">
        <v>1676</v>
      </c>
      <c r="E3" s="796"/>
      <c r="F3" s="657"/>
      <c r="G3" s="516" t="s">
        <v>1677</v>
      </c>
      <c r="H3" s="517"/>
      <c r="I3" s="518"/>
      <c r="J3" s="519">
        <f t="shared" ref="J3:J20" si="0">(K3*8%)+K3</f>
        <v>0</v>
      </c>
      <c r="K3" s="769"/>
      <c r="L3" s="520"/>
      <c r="M3" s="521"/>
    </row>
    <row r="4" spans="1:13">
      <c r="A4" s="63"/>
      <c r="B4" s="112"/>
      <c r="C4" s="213"/>
      <c r="D4" s="78"/>
      <c r="E4" s="797"/>
      <c r="F4" s="653"/>
      <c r="G4" s="177" t="s">
        <v>1678</v>
      </c>
      <c r="H4" s="522" t="s">
        <v>142</v>
      </c>
      <c r="I4" s="81">
        <v>40</v>
      </c>
      <c r="J4" s="114">
        <f t="shared" si="0"/>
        <v>0</v>
      </c>
      <c r="K4" s="734"/>
      <c r="L4" s="178">
        <f t="shared" ref="L4:L7" si="1">K4/48</f>
        <v>0</v>
      </c>
      <c r="M4" s="115">
        <f t="shared" ref="M4:M8" si="2">I4*K4</f>
        <v>0</v>
      </c>
    </row>
    <row r="5" spans="1:13">
      <c r="A5" s="57">
        <v>2</v>
      </c>
      <c r="B5" s="112" t="s">
        <v>1679</v>
      </c>
      <c r="C5" s="213" t="s">
        <v>1680</v>
      </c>
      <c r="D5" s="78" t="s">
        <v>1676</v>
      </c>
      <c r="E5" s="652"/>
      <c r="F5" s="653"/>
      <c r="G5" s="177" t="s">
        <v>1681</v>
      </c>
      <c r="H5" s="89" t="s">
        <v>142</v>
      </c>
      <c r="I5" s="90">
        <v>5</v>
      </c>
      <c r="J5" s="127">
        <f t="shared" si="0"/>
        <v>0</v>
      </c>
      <c r="K5" s="744"/>
      <c r="L5" s="161">
        <f t="shared" si="1"/>
        <v>0</v>
      </c>
      <c r="M5" s="152">
        <f t="shared" si="2"/>
        <v>0</v>
      </c>
    </row>
    <row r="6" spans="1:13">
      <c r="A6" s="57">
        <v>3</v>
      </c>
      <c r="B6" s="85" t="s">
        <v>1682</v>
      </c>
      <c r="C6" s="160" t="s">
        <v>1683</v>
      </c>
      <c r="D6" s="87" t="s">
        <v>1676</v>
      </c>
      <c r="E6" s="654"/>
      <c r="F6" s="655"/>
      <c r="G6" s="368" t="s">
        <v>1684</v>
      </c>
      <c r="H6" s="89" t="s">
        <v>142</v>
      </c>
      <c r="I6" s="90">
        <v>4</v>
      </c>
      <c r="J6" s="127">
        <f t="shared" si="0"/>
        <v>0</v>
      </c>
      <c r="K6" s="744"/>
      <c r="L6" s="161">
        <f t="shared" si="1"/>
        <v>0</v>
      </c>
      <c r="M6" s="152">
        <f t="shared" si="2"/>
        <v>0</v>
      </c>
    </row>
    <row r="7" spans="1:13">
      <c r="A7" s="53">
        <v>4</v>
      </c>
      <c r="B7" s="85" t="s">
        <v>1685</v>
      </c>
      <c r="C7" s="160" t="s">
        <v>1686</v>
      </c>
      <c r="D7" s="87" t="s">
        <v>1687</v>
      </c>
      <c r="E7" s="654"/>
      <c r="F7" s="655"/>
      <c r="G7" s="368" t="s">
        <v>1688</v>
      </c>
      <c r="H7" s="89" t="s">
        <v>142</v>
      </c>
      <c r="I7" s="90">
        <v>5</v>
      </c>
      <c r="J7" s="127">
        <f t="shared" si="0"/>
        <v>0</v>
      </c>
      <c r="K7" s="744"/>
      <c r="L7" s="161">
        <f t="shared" si="1"/>
        <v>0</v>
      </c>
      <c r="M7" s="152">
        <f t="shared" si="2"/>
        <v>0</v>
      </c>
    </row>
    <row r="8" spans="1:13">
      <c r="A8" s="53">
        <v>5</v>
      </c>
      <c r="B8" s="76" t="s">
        <v>1689</v>
      </c>
      <c r="C8" s="131" t="s">
        <v>1690</v>
      </c>
      <c r="D8" s="109" t="s">
        <v>1691</v>
      </c>
      <c r="E8" s="660"/>
      <c r="F8" s="657"/>
      <c r="G8" s="174" t="s">
        <v>1692</v>
      </c>
      <c r="H8" s="97" t="s">
        <v>142</v>
      </c>
      <c r="I8" s="98">
        <v>12</v>
      </c>
      <c r="J8" s="106">
        <f t="shared" si="0"/>
        <v>0</v>
      </c>
      <c r="K8" s="732"/>
      <c r="L8" s="169">
        <f>K8/96</f>
        <v>0</v>
      </c>
      <c r="M8" s="100">
        <f t="shared" si="2"/>
        <v>0</v>
      </c>
    </row>
    <row r="9" spans="1:13">
      <c r="B9" s="112"/>
      <c r="C9" s="213" t="s">
        <v>1693</v>
      </c>
      <c r="D9" s="126"/>
      <c r="E9" s="652"/>
      <c r="F9" s="653"/>
      <c r="G9" s="177"/>
      <c r="H9" s="80"/>
      <c r="I9" s="81"/>
      <c r="J9" s="114">
        <f t="shared" si="0"/>
        <v>0</v>
      </c>
      <c r="K9" s="734"/>
      <c r="L9" s="178"/>
      <c r="M9" s="293"/>
    </row>
    <row r="10" spans="1:13">
      <c r="A10" s="53">
        <v>6</v>
      </c>
      <c r="B10" s="85" t="s">
        <v>1694</v>
      </c>
      <c r="C10" s="160" t="s">
        <v>1695</v>
      </c>
      <c r="D10" s="87" t="s">
        <v>1696</v>
      </c>
      <c r="E10" s="654"/>
      <c r="F10" s="655"/>
      <c r="G10" s="368" t="s">
        <v>1697</v>
      </c>
      <c r="H10" s="89" t="s">
        <v>142</v>
      </c>
      <c r="I10" s="90">
        <v>2</v>
      </c>
      <c r="J10" s="127">
        <f t="shared" si="0"/>
        <v>0</v>
      </c>
      <c r="K10" s="744"/>
      <c r="L10" s="161">
        <f t="shared" ref="L10:L11" si="3">K10/144</f>
        <v>0</v>
      </c>
      <c r="M10" s="152">
        <f t="shared" ref="M10:M11" si="4">I10*K10</f>
        <v>0</v>
      </c>
    </row>
    <row r="11" spans="1:13">
      <c r="A11" s="53">
        <v>7</v>
      </c>
      <c r="B11" s="112" t="s">
        <v>1698</v>
      </c>
      <c r="C11" s="153" t="s">
        <v>1699</v>
      </c>
      <c r="D11" s="118" t="s">
        <v>1696</v>
      </c>
      <c r="E11" s="669"/>
      <c r="F11" s="662"/>
      <c r="G11" s="186" t="s">
        <v>1700</v>
      </c>
      <c r="H11" s="120" t="s">
        <v>142</v>
      </c>
      <c r="I11" s="121">
        <v>2</v>
      </c>
      <c r="J11" s="140">
        <f t="shared" si="0"/>
        <v>0</v>
      </c>
      <c r="K11" s="733"/>
      <c r="L11" s="200">
        <f t="shared" si="3"/>
        <v>0</v>
      </c>
      <c r="M11" s="123">
        <f t="shared" si="4"/>
        <v>0</v>
      </c>
    </row>
    <row r="12" spans="1:13">
      <c r="A12" s="53">
        <v>8</v>
      </c>
      <c r="B12" s="414" t="s">
        <v>1701</v>
      </c>
      <c r="C12" s="145" t="s">
        <v>1702</v>
      </c>
      <c r="D12" s="109" t="s">
        <v>1703</v>
      </c>
      <c r="E12" s="660"/>
      <c r="F12" s="657"/>
      <c r="G12" s="96" t="s">
        <v>1704</v>
      </c>
      <c r="H12" s="97" t="s">
        <v>142</v>
      </c>
      <c r="I12" s="98">
        <v>20</v>
      </c>
      <c r="J12" s="106">
        <f t="shared" si="0"/>
        <v>0</v>
      </c>
      <c r="K12" s="732"/>
      <c r="L12" s="169">
        <f t="shared" ref="L12:L14" si="5">K12/48</f>
        <v>0</v>
      </c>
      <c r="M12" s="133">
        <f t="shared" ref="M12:M14" si="6">K12*I12</f>
        <v>0</v>
      </c>
    </row>
    <row r="13" spans="1:13">
      <c r="B13" s="414"/>
      <c r="C13" s="148" t="s">
        <v>1705</v>
      </c>
      <c r="D13" s="118" t="s">
        <v>1703</v>
      </c>
      <c r="E13" s="669"/>
      <c r="F13" s="662"/>
      <c r="G13" s="119" t="s">
        <v>1706</v>
      </c>
      <c r="H13" s="120" t="s">
        <v>142</v>
      </c>
      <c r="I13" s="121">
        <v>20</v>
      </c>
      <c r="J13" s="140">
        <f t="shared" si="0"/>
        <v>0</v>
      </c>
      <c r="K13" s="733"/>
      <c r="L13" s="200">
        <f t="shared" si="5"/>
        <v>0</v>
      </c>
      <c r="M13" s="143">
        <f t="shared" si="6"/>
        <v>0</v>
      </c>
    </row>
    <row r="14" spans="1:13">
      <c r="B14" s="414"/>
      <c r="C14" s="148" t="s">
        <v>1707</v>
      </c>
      <c r="D14" s="118" t="s">
        <v>1703</v>
      </c>
      <c r="E14" s="669"/>
      <c r="F14" s="662"/>
      <c r="G14" s="119" t="s">
        <v>1708</v>
      </c>
      <c r="H14" s="120" t="s">
        <v>142</v>
      </c>
      <c r="I14" s="121">
        <v>20</v>
      </c>
      <c r="J14" s="140">
        <f t="shared" si="0"/>
        <v>0</v>
      </c>
      <c r="K14" s="733"/>
      <c r="L14" s="200">
        <f t="shared" si="5"/>
        <v>0</v>
      </c>
      <c r="M14" s="143">
        <f t="shared" si="6"/>
        <v>0</v>
      </c>
    </row>
    <row r="15" spans="1:13">
      <c r="A15" s="53">
        <v>9</v>
      </c>
      <c r="B15" s="76" t="s">
        <v>1709</v>
      </c>
      <c r="C15" s="131" t="s">
        <v>1710</v>
      </c>
      <c r="D15" s="109" t="s">
        <v>1246</v>
      </c>
      <c r="E15" s="660"/>
      <c r="F15" s="657"/>
      <c r="G15" s="96" t="s">
        <v>1711</v>
      </c>
      <c r="H15" s="97" t="s">
        <v>142</v>
      </c>
      <c r="I15" s="228">
        <v>20</v>
      </c>
      <c r="J15" s="106">
        <f t="shared" si="0"/>
        <v>0</v>
      </c>
      <c r="K15" s="732"/>
      <c r="L15" s="169">
        <f t="shared" ref="L15:L16" si="7">K15/24</f>
        <v>0</v>
      </c>
      <c r="M15" s="100">
        <f>I15*K15</f>
        <v>0</v>
      </c>
    </row>
    <row r="16" spans="1:13">
      <c r="B16" s="116"/>
      <c r="C16" s="239" t="s">
        <v>1712</v>
      </c>
      <c r="D16" s="118" t="s">
        <v>1246</v>
      </c>
      <c r="E16" s="669"/>
      <c r="F16" s="662"/>
      <c r="G16" s="119" t="s">
        <v>1713</v>
      </c>
      <c r="H16" s="120"/>
      <c r="I16" s="121"/>
      <c r="J16" s="140">
        <f t="shared" si="0"/>
        <v>0</v>
      </c>
      <c r="K16" s="733"/>
      <c r="L16" s="200">
        <f t="shared" si="7"/>
        <v>0</v>
      </c>
      <c r="M16" s="155"/>
    </row>
    <row r="17" spans="1:13">
      <c r="B17" s="116"/>
      <c r="C17" s="129"/>
      <c r="D17" s="130"/>
      <c r="E17" s="669"/>
      <c r="F17" s="662"/>
      <c r="G17" s="119" t="s">
        <v>167</v>
      </c>
      <c r="H17" s="120"/>
      <c r="I17" s="121"/>
      <c r="J17" s="140">
        <f t="shared" si="0"/>
        <v>0</v>
      </c>
      <c r="K17" s="733"/>
      <c r="L17" s="200"/>
      <c r="M17" s="155"/>
    </row>
    <row r="18" spans="1:13">
      <c r="A18" s="53">
        <v>10</v>
      </c>
      <c r="B18" s="241" t="s">
        <v>1714</v>
      </c>
      <c r="C18" s="138" t="s">
        <v>1715</v>
      </c>
      <c r="D18" s="109" t="s">
        <v>1716</v>
      </c>
      <c r="E18" s="660"/>
      <c r="F18" s="657"/>
      <c r="G18" s="168" t="s">
        <v>1717</v>
      </c>
      <c r="H18" s="97" t="s">
        <v>142</v>
      </c>
      <c r="I18" s="228">
        <v>20</v>
      </c>
      <c r="J18" s="106">
        <f t="shared" si="0"/>
        <v>0</v>
      </c>
      <c r="K18" s="732"/>
      <c r="L18" s="169">
        <f t="shared" ref="L18:L19" si="8">K18/18</f>
        <v>0</v>
      </c>
      <c r="M18" s="100">
        <f>I18*K18</f>
        <v>0</v>
      </c>
    </row>
    <row r="19" spans="1:13">
      <c r="B19" s="116"/>
      <c r="C19" s="239" t="s">
        <v>1718</v>
      </c>
      <c r="D19" s="118" t="s">
        <v>1716</v>
      </c>
      <c r="E19" s="669"/>
      <c r="F19" s="662"/>
      <c r="G19" s="199" t="s">
        <v>1719</v>
      </c>
      <c r="H19" s="120"/>
      <c r="I19" s="121"/>
      <c r="J19" s="140">
        <f t="shared" si="0"/>
        <v>0</v>
      </c>
      <c r="K19" s="733"/>
      <c r="L19" s="200">
        <f t="shared" si="8"/>
        <v>0</v>
      </c>
      <c r="M19" s="155"/>
    </row>
    <row r="20" spans="1:13">
      <c r="B20" s="112"/>
      <c r="C20" s="157"/>
      <c r="D20" s="126"/>
      <c r="E20" s="652"/>
      <c r="F20" s="653"/>
      <c r="G20" s="79" t="s">
        <v>167</v>
      </c>
      <c r="H20" s="80"/>
      <c r="I20" s="81"/>
      <c r="J20" s="114">
        <f t="shared" si="0"/>
        <v>0</v>
      </c>
      <c r="K20" s="734"/>
      <c r="L20" s="178"/>
      <c r="M20" s="293"/>
    </row>
    <row r="21" spans="1:13">
      <c r="B21" s="937" t="s">
        <v>1720</v>
      </c>
      <c r="C21" s="915"/>
      <c r="D21" s="915"/>
      <c r="E21" s="915"/>
      <c r="F21" s="915"/>
      <c r="G21" s="915"/>
      <c r="H21" s="915"/>
      <c r="I21" s="915"/>
      <c r="J21" s="64"/>
      <c r="K21" s="952">
        <f>SUM(M3:M20)</f>
        <v>0</v>
      </c>
      <c r="L21" s="915"/>
      <c r="M21" s="916"/>
    </row>
  </sheetData>
  <sheetProtection algorithmName="SHA-512" hashValue="l2ZxfmG9dJZuHILMiOpMPjP7NI1JjO8SByPDNSbc02nApjQRclF1lz6o8NWCbtmnxep+YdrENG3jQqP42VICWw==" saltValue="aR0waWHdygZRTvARZsSl5g==" spinCount="100000" sheet="1" objects="1" scenarios="1" selectLockedCells="1"/>
  <mergeCells count="3">
    <mergeCell ref="B2:M2"/>
    <mergeCell ref="B21:I21"/>
    <mergeCell ref="K21:M21"/>
  </mergeCells>
  <pageMargins left="0.25" right="0.25" top="0.25" bottom="0.25" header="0.25" footer="0.25"/>
  <pageSetup scale="5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fitToPage="1"/>
  </sheetPr>
  <dimension ref="A1:M48"/>
  <sheetViews>
    <sheetView workbookViewId="0">
      <selection activeCell="K17" sqref="K17"/>
    </sheetView>
  </sheetViews>
  <sheetFormatPr defaultColWidth="14.42578125" defaultRowHeight="15" customHeight="1"/>
  <cols>
    <col min="1" max="1" width="3.5703125" customWidth="1"/>
    <col min="2" max="2" width="33.7109375" customWidth="1"/>
    <col min="3" max="3" width="64.85546875" customWidth="1"/>
    <col min="4" max="4" width="12.42578125" customWidth="1"/>
    <col min="5" max="5" width="12.85546875" customWidth="1"/>
    <col min="6" max="6" width="11.7109375" customWidth="1"/>
    <col min="7" max="7" width="35.5703125" customWidth="1"/>
    <col min="8" max="8" width="9.5703125" customWidth="1"/>
    <col min="9" max="9" width="9.42578125" customWidth="1"/>
    <col min="10" max="10" width="14.42578125" hidden="1"/>
    <col min="11" max="11" width="11" customWidth="1"/>
    <col min="12" max="12" width="11.28515625" customWidth="1"/>
    <col min="13" max="13" width="11.42578125" customWidth="1"/>
  </cols>
  <sheetData>
    <row r="1" spans="1:13">
      <c r="A1" s="60"/>
      <c r="B1" s="66" t="s">
        <v>93</v>
      </c>
      <c r="C1" s="67" t="s">
        <v>94</v>
      </c>
      <c r="D1" s="68" t="s">
        <v>95</v>
      </c>
      <c r="E1" s="69" t="s">
        <v>96</v>
      </c>
      <c r="F1" s="70" t="s">
        <v>97</v>
      </c>
      <c r="G1" s="71" t="s">
        <v>98</v>
      </c>
      <c r="H1" s="71" t="s">
        <v>99</v>
      </c>
      <c r="I1" s="72" t="s">
        <v>100</v>
      </c>
      <c r="J1" s="73" t="s">
        <v>101</v>
      </c>
      <c r="K1" s="74" t="s">
        <v>102</v>
      </c>
      <c r="L1" s="75" t="s">
        <v>103</v>
      </c>
      <c r="M1" s="71" t="s">
        <v>104</v>
      </c>
    </row>
    <row r="2" spans="1:13">
      <c r="A2" s="57"/>
      <c r="B2" s="914" t="s">
        <v>1721</v>
      </c>
      <c r="C2" s="915"/>
      <c r="D2" s="915"/>
      <c r="E2" s="915"/>
      <c r="F2" s="915"/>
      <c r="G2" s="915"/>
      <c r="H2" s="915"/>
      <c r="I2" s="915"/>
      <c r="J2" s="915"/>
      <c r="K2" s="915"/>
      <c r="L2" s="915"/>
      <c r="M2" s="916"/>
    </row>
    <row r="3" spans="1:13">
      <c r="A3" s="57">
        <v>1</v>
      </c>
      <c r="B3" s="253" t="s">
        <v>1722</v>
      </c>
      <c r="C3" s="135" t="s">
        <v>1723</v>
      </c>
      <c r="D3" s="118" t="s">
        <v>1724</v>
      </c>
      <c r="E3" s="661"/>
      <c r="F3" s="662"/>
      <c r="G3" s="119" t="s">
        <v>258</v>
      </c>
      <c r="H3" s="120" t="s">
        <v>1725</v>
      </c>
      <c r="I3" s="121">
        <v>1</v>
      </c>
      <c r="J3" s="82">
        <f t="shared" ref="J3:J47" si="0">(K3*8%)+K3</f>
        <v>0</v>
      </c>
      <c r="K3" s="738"/>
      <c r="L3" s="328">
        <f>K3/16</f>
        <v>0</v>
      </c>
      <c r="M3" s="123">
        <f>K3*I3</f>
        <v>0</v>
      </c>
    </row>
    <row r="4" spans="1:13">
      <c r="A4" s="63"/>
      <c r="B4" s="112"/>
      <c r="C4" s="157"/>
      <c r="D4" s="126"/>
      <c r="E4" s="664"/>
      <c r="F4" s="798"/>
      <c r="G4" s="79" t="s">
        <v>1726</v>
      </c>
      <c r="H4" s="523"/>
      <c r="I4" s="392"/>
      <c r="J4" s="91">
        <f t="shared" si="0"/>
        <v>0</v>
      </c>
      <c r="K4" s="738"/>
      <c r="L4" s="158" t="s">
        <v>254</v>
      </c>
      <c r="M4" s="115"/>
    </row>
    <row r="5" spans="1:13">
      <c r="A5" s="57">
        <v>2</v>
      </c>
      <c r="B5" s="241" t="s">
        <v>1727</v>
      </c>
      <c r="C5" s="131" t="s">
        <v>1728</v>
      </c>
      <c r="D5" s="109" t="s">
        <v>1729</v>
      </c>
      <c r="E5" s="665"/>
      <c r="F5" s="657"/>
      <c r="G5" s="96" t="s">
        <v>258</v>
      </c>
      <c r="H5" s="97" t="s">
        <v>1725</v>
      </c>
      <c r="I5" s="98">
        <v>1</v>
      </c>
      <c r="J5" s="91">
        <f t="shared" si="0"/>
        <v>0</v>
      </c>
      <c r="K5" s="739"/>
      <c r="L5" s="156">
        <f>K5/5</f>
        <v>0</v>
      </c>
      <c r="M5" s="100"/>
    </row>
    <row r="6" spans="1:13">
      <c r="A6" s="63"/>
      <c r="B6" s="112"/>
      <c r="C6" s="157"/>
      <c r="D6" s="126"/>
      <c r="E6" s="664"/>
      <c r="F6" s="653"/>
      <c r="G6" s="79"/>
      <c r="H6" s="523"/>
      <c r="I6" s="392"/>
      <c r="J6" s="91">
        <f t="shared" si="0"/>
        <v>0</v>
      </c>
      <c r="K6" s="740"/>
      <c r="L6" s="158" t="s">
        <v>254</v>
      </c>
      <c r="M6" s="115"/>
    </row>
    <row r="7" spans="1:13">
      <c r="A7" s="53">
        <v>3</v>
      </c>
      <c r="B7" s="241" t="s">
        <v>1730</v>
      </c>
      <c r="C7" s="131" t="s">
        <v>1731</v>
      </c>
      <c r="D7" s="109" t="s">
        <v>1724</v>
      </c>
      <c r="E7" s="665"/>
      <c r="F7" s="657"/>
      <c r="G7" s="96" t="s">
        <v>1732</v>
      </c>
      <c r="H7" s="97" t="s">
        <v>1725</v>
      </c>
      <c r="I7" s="98">
        <v>8</v>
      </c>
      <c r="J7" s="91">
        <f t="shared" si="0"/>
        <v>0</v>
      </c>
      <c r="K7" s="738"/>
      <c r="L7" s="156">
        <f>K7/16</f>
        <v>0</v>
      </c>
      <c r="M7" s="100">
        <f>K7*I7</f>
        <v>0</v>
      </c>
    </row>
    <row r="8" spans="1:13">
      <c r="B8" s="112"/>
      <c r="C8" s="157"/>
      <c r="D8" s="126"/>
      <c r="E8" s="664"/>
      <c r="F8" s="653"/>
      <c r="G8" s="79" t="s">
        <v>1733</v>
      </c>
      <c r="H8" s="523"/>
      <c r="I8" s="392"/>
      <c r="J8" s="91">
        <f t="shared" si="0"/>
        <v>0</v>
      </c>
      <c r="K8" s="738"/>
      <c r="L8" s="158" t="s">
        <v>254</v>
      </c>
      <c r="M8" s="115"/>
    </row>
    <row r="9" spans="1:13">
      <c r="A9" s="53">
        <v>4</v>
      </c>
      <c r="B9" s="241" t="s">
        <v>1734</v>
      </c>
      <c r="C9" s="131" t="s">
        <v>1735</v>
      </c>
      <c r="D9" s="109" t="s">
        <v>1724</v>
      </c>
      <c r="E9" s="665"/>
      <c r="F9" s="657"/>
      <c r="G9" s="96" t="s">
        <v>258</v>
      </c>
      <c r="H9" s="97" t="s">
        <v>1725</v>
      </c>
      <c r="I9" s="98">
        <v>35</v>
      </c>
      <c r="J9" s="91">
        <f t="shared" si="0"/>
        <v>0</v>
      </c>
      <c r="K9" s="739"/>
      <c r="L9" s="156">
        <f>K9/18</f>
        <v>0</v>
      </c>
      <c r="M9" s="100">
        <f>I9*K9</f>
        <v>0</v>
      </c>
    </row>
    <row r="10" spans="1:13">
      <c r="B10" s="112"/>
      <c r="C10" s="157"/>
      <c r="D10" s="126"/>
      <c r="E10" s="664"/>
      <c r="F10" s="653"/>
      <c r="G10" s="79" t="s">
        <v>1736</v>
      </c>
      <c r="H10" s="80"/>
      <c r="I10" s="81"/>
      <c r="J10" s="91">
        <f t="shared" si="0"/>
        <v>0</v>
      </c>
      <c r="K10" s="740"/>
      <c r="L10" s="158" t="s">
        <v>254</v>
      </c>
      <c r="M10" s="115"/>
    </row>
    <row r="11" spans="1:13">
      <c r="A11" s="53">
        <v>5</v>
      </c>
      <c r="B11" s="253" t="s">
        <v>1737</v>
      </c>
      <c r="C11" s="135" t="s">
        <v>1738</v>
      </c>
      <c r="D11" s="118" t="s">
        <v>1739</v>
      </c>
      <c r="E11" s="663"/>
      <c r="F11" s="662"/>
      <c r="G11" s="96" t="s">
        <v>258</v>
      </c>
      <c r="H11" s="97" t="s">
        <v>1725</v>
      </c>
      <c r="I11" s="121">
        <v>1</v>
      </c>
      <c r="J11" s="91">
        <f t="shared" si="0"/>
        <v>0</v>
      </c>
      <c r="K11" s="738"/>
      <c r="L11" s="159">
        <f>K11/24</f>
        <v>0</v>
      </c>
      <c r="M11" s="123">
        <f>I11*K11</f>
        <v>0</v>
      </c>
    </row>
    <row r="12" spans="1:13">
      <c r="B12" s="116"/>
      <c r="C12" s="136"/>
      <c r="D12" s="130"/>
      <c r="E12" s="663"/>
      <c r="F12" s="662"/>
      <c r="G12" s="119" t="s">
        <v>1740</v>
      </c>
      <c r="H12" s="120"/>
      <c r="I12" s="121"/>
      <c r="J12" s="91">
        <f t="shared" si="0"/>
        <v>0</v>
      </c>
      <c r="K12" s="738"/>
      <c r="L12" s="159"/>
      <c r="M12" s="123"/>
    </row>
    <row r="13" spans="1:13">
      <c r="A13" s="53">
        <v>6</v>
      </c>
      <c r="B13" s="241" t="s">
        <v>1741</v>
      </c>
      <c r="C13" s="131" t="s">
        <v>1742</v>
      </c>
      <c r="D13" s="109" t="s">
        <v>1724</v>
      </c>
      <c r="E13" s="665"/>
      <c r="F13" s="657"/>
      <c r="G13" s="96" t="s">
        <v>258</v>
      </c>
      <c r="H13" s="97" t="s">
        <v>1725</v>
      </c>
      <c r="I13" s="98">
        <v>7</v>
      </c>
      <c r="J13" s="91">
        <f t="shared" si="0"/>
        <v>0</v>
      </c>
      <c r="K13" s="739"/>
      <c r="L13" s="156">
        <f>K13/16</f>
        <v>0</v>
      </c>
      <c r="M13" s="100">
        <f>(I13*K13)</f>
        <v>0</v>
      </c>
    </row>
    <row r="14" spans="1:13">
      <c r="B14" s="112"/>
      <c r="C14" s="157"/>
      <c r="D14" s="126"/>
      <c r="E14" s="664"/>
      <c r="F14" s="653"/>
      <c r="G14" s="79" t="s">
        <v>1743</v>
      </c>
      <c r="H14" s="80"/>
      <c r="I14" s="81"/>
      <c r="J14" s="91">
        <f t="shared" si="0"/>
        <v>0</v>
      </c>
      <c r="K14" s="740"/>
      <c r="L14" s="158" t="s">
        <v>254</v>
      </c>
      <c r="M14" s="115"/>
    </row>
    <row r="15" spans="1:13">
      <c r="A15" s="53">
        <v>7</v>
      </c>
      <c r="B15" s="241" t="s">
        <v>1744</v>
      </c>
      <c r="C15" s="131" t="s">
        <v>1745</v>
      </c>
      <c r="D15" s="109" t="s">
        <v>1746</v>
      </c>
      <c r="E15" s="665"/>
      <c r="F15" s="657"/>
      <c r="G15" s="96" t="s">
        <v>258</v>
      </c>
      <c r="H15" s="97" t="s">
        <v>1725</v>
      </c>
      <c r="I15" s="98">
        <v>7</v>
      </c>
      <c r="J15" s="91">
        <f t="shared" si="0"/>
        <v>0</v>
      </c>
      <c r="K15" s="738"/>
      <c r="L15" s="156">
        <f>K15/16</f>
        <v>0</v>
      </c>
      <c r="M15" s="100">
        <f>(I15*K15)</f>
        <v>0</v>
      </c>
    </row>
    <row r="16" spans="1:13">
      <c r="B16" s="112"/>
      <c r="C16" s="157"/>
      <c r="D16" s="126"/>
      <c r="E16" s="664"/>
      <c r="F16" s="653"/>
      <c r="G16" s="79" t="s">
        <v>1747</v>
      </c>
      <c r="H16" s="80"/>
      <c r="I16" s="81"/>
      <c r="J16" s="91">
        <f t="shared" si="0"/>
        <v>0</v>
      </c>
      <c r="K16" s="738"/>
      <c r="L16" s="158" t="s">
        <v>254</v>
      </c>
      <c r="M16" s="115"/>
    </row>
    <row r="17" spans="1:13">
      <c r="A17" s="53">
        <v>8</v>
      </c>
      <c r="B17" s="241" t="s">
        <v>1748</v>
      </c>
      <c r="C17" s="131" t="s">
        <v>1749</v>
      </c>
      <c r="D17" s="109" t="s">
        <v>1750</v>
      </c>
      <c r="E17" s="665"/>
      <c r="F17" s="657"/>
      <c r="G17" s="96" t="s">
        <v>258</v>
      </c>
      <c r="H17" s="97" t="s">
        <v>1725</v>
      </c>
      <c r="I17" s="98">
        <v>1</v>
      </c>
      <c r="J17" s="91">
        <f t="shared" si="0"/>
        <v>0</v>
      </c>
      <c r="K17" s="739"/>
      <c r="L17" s="156">
        <f>K17/14</f>
        <v>0</v>
      </c>
      <c r="M17" s="100">
        <f>(I17*K17)</f>
        <v>0</v>
      </c>
    </row>
    <row r="18" spans="1:13">
      <c r="B18" s="112"/>
      <c r="C18" s="157"/>
      <c r="D18" s="126"/>
      <c r="E18" s="664"/>
      <c r="F18" s="653"/>
      <c r="G18" s="79" t="s">
        <v>1751</v>
      </c>
      <c r="H18" s="80"/>
      <c r="I18" s="81"/>
      <c r="J18" s="91">
        <f t="shared" si="0"/>
        <v>0</v>
      </c>
      <c r="K18" s="740"/>
      <c r="L18" s="158" t="s">
        <v>254</v>
      </c>
      <c r="M18" s="115"/>
    </row>
    <row r="19" spans="1:13">
      <c r="A19" s="53">
        <v>9</v>
      </c>
      <c r="B19" s="927" t="s">
        <v>1752</v>
      </c>
      <c r="C19" s="131" t="s">
        <v>1753</v>
      </c>
      <c r="D19" s="109" t="s">
        <v>1754</v>
      </c>
      <c r="E19" s="665"/>
      <c r="F19" s="657"/>
      <c r="G19" s="96" t="s">
        <v>258</v>
      </c>
      <c r="H19" s="97" t="s">
        <v>1725</v>
      </c>
      <c r="I19" s="98">
        <v>4</v>
      </c>
      <c r="J19" s="91">
        <f t="shared" si="0"/>
        <v>0</v>
      </c>
      <c r="K19" s="738"/>
      <c r="L19" s="156">
        <f>K19/6</f>
        <v>0</v>
      </c>
      <c r="M19" s="100">
        <f>I19*K19</f>
        <v>0</v>
      </c>
    </row>
    <row r="20" spans="1:13">
      <c r="B20" s="928"/>
      <c r="C20" s="157"/>
      <c r="D20" s="126"/>
      <c r="E20" s="664"/>
      <c r="F20" s="653"/>
      <c r="G20" s="79" t="s">
        <v>1755</v>
      </c>
      <c r="H20" s="80"/>
      <c r="I20" s="81"/>
      <c r="J20" s="91">
        <f t="shared" si="0"/>
        <v>0</v>
      </c>
      <c r="K20" s="738"/>
      <c r="L20" s="158" t="s">
        <v>254</v>
      </c>
      <c r="M20" s="115"/>
    </row>
    <row r="21" spans="1:13">
      <c r="A21" s="53">
        <v>10</v>
      </c>
      <c r="B21" s="253" t="s">
        <v>1756</v>
      </c>
      <c r="C21" s="135" t="s">
        <v>1757</v>
      </c>
      <c r="D21" s="118" t="s">
        <v>1758</v>
      </c>
      <c r="E21" s="663"/>
      <c r="F21" s="662"/>
      <c r="G21" s="383" t="s">
        <v>1759</v>
      </c>
      <c r="H21" s="120" t="s">
        <v>1725</v>
      </c>
      <c r="I21" s="121">
        <v>5</v>
      </c>
      <c r="J21" s="91">
        <f t="shared" si="0"/>
        <v>0</v>
      </c>
      <c r="K21" s="770"/>
      <c r="L21" s="159">
        <f>K21/29</f>
        <v>0</v>
      </c>
      <c r="M21" s="123">
        <f>K21*I21</f>
        <v>0</v>
      </c>
    </row>
    <row r="22" spans="1:13">
      <c r="A22" s="53">
        <v>11</v>
      </c>
      <c r="B22" s="927" t="s">
        <v>1760</v>
      </c>
      <c r="C22" s="131" t="s">
        <v>1761</v>
      </c>
      <c r="D22" s="302"/>
      <c r="E22" s="665"/>
      <c r="F22" s="657"/>
      <c r="G22" s="96" t="s">
        <v>258</v>
      </c>
      <c r="H22" s="97" t="s">
        <v>1725</v>
      </c>
      <c r="I22" s="98">
        <v>5</v>
      </c>
      <c r="J22" s="91">
        <f t="shared" si="0"/>
        <v>0</v>
      </c>
      <c r="K22" s="738"/>
      <c r="L22" s="156">
        <f>K22/16</f>
        <v>0</v>
      </c>
      <c r="M22" s="100">
        <f>I22*K22</f>
        <v>0</v>
      </c>
    </row>
    <row r="23" spans="1:13">
      <c r="B23" s="928"/>
      <c r="C23" s="157"/>
      <c r="D23" s="78" t="s">
        <v>1724</v>
      </c>
      <c r="E23" s="664"/>
      <c r="F23" s="653"/>
      <c r="G23" s="79" t="s">
        <v>1762</v>
      </c>
      <c r="H23" s="80"/>
      <c r="I23" s="81"/>
      <c r="J23" s="91">
        <f t="shared" si="0"/>
        <v>0</v>
      </c>
      <c r="K23" s="738"/>
      <c r="L23" s="158" t="s">
        <v>254</v>
      </c>
      <c r="M23" s="115"/>
    </row>
    <row r="24" spans="1:13">
      <c r="A24" s="53">
        <v>12</v>
      </c>
      <c r="B24" s="241" t="s">
        <v>1763</v>
      </c>
      <c r="C24" s="131" t="s">
        <v>1764</v>
      </c>
      <c r="D24" s="302"/>
      <c r="E24" s="665"/>
      <c r="F24" s="657"/>
      <c r="G24" s="96" t="s">
        <v>258</v>
      </c>
      <c r="H24" s="97" t="s">
        <v>1725</v>
      </c>
      <c r="I24" s="98">
        <v>1</v>
      </c>
      <c r="J24" s="91">
        <f t="shared" si="0"/>
        <v>0</v>
      </c>
      <c r="K24" s="739"/>
      <c r="L24" s="156">
        <f>K24/16</f>
        <v>0</v>
      </c>
      <c r="M24" s="100">
        <f>I24*K24</f>
        <v>0</v>
      </c>
    </row>
    <row r="25" spans="1:13">
      <c r="B25" s="112"/>
      <c r="C25" s="157"/>
      <c r="D25" s="78" t="s">
        <v>1724</v>
      </c>
      <c r="E25" s="664"/>
      <c r="F25" s="653"/>
      <c r="G25" s="79" t="s">
        <v>1765</v>
      </c>
      <c r="H25" s="80"/>
      <c r="I25" s="81"/>
      <c r="J25" s="91">
        <f t="shared" si="0"/>
        <v>0</v>
      </c>
      <c r="K25" s="740"/>
      <c r="L25" s="158" t="s">
        <v>254</v>
      </c>
      <c r="M25" s="115"/>
    </row>
    <row r="26" spans="1:13">
      <c r="A26" s="53">
        <v>13</v>
      </c>
      <c r="B26" s="241" t="s">
        <v>1766</v>
      </c>
      <c r="C26" s="131" t="s">
        <v>1767</v>
      </c>
      <c r="D26" s="109" t="s">
        <v>267</v>
      </c>
      <c r="E26" s="665"/>
      <c r="F26" s="657"/>
      <c r="G26" s="96" t="s">
        <v>1768</v>
      </c>
      <c r="H26" s="97" t="s">
        <v>1725</v>
      </c>
      <c r="I26" s="98">
        <v>5</v>
      </c>
      <c r="J26" s="91">
        <f t="shared" si="0"/>
        <v>0</v>
      </c>
      <c r="K26" s="738"/>
      <c r="L26" s="156">
        <f>K26/240</f>
        <v>0</v>
      </c>
      <c r="M26" s="100">
        <f>I26*K26</f>
        <v>0</v>
      </c>
    </row>
    <row r="27" spans="1:13">
      <c r="B27" s="112"/>
      <c r="C27" s="157"/>
      <c r="D27" s="126"/>
      <c r="E27" s="664"/>
      <c r="F27" s="653"/>
      <c r="G27" s="79" t="s">
        <v>167</v>
      </c>
      <c r="H27" s="80"/>
      <c r="I27" s="81"/>
      <c r="J27" s="91">
        <f t="shared" si="0"/>
        <v>0</v>
      </c>
      <c r="K27" s="738"/>
      <c r="L27" s="158" t="s">
        <v>254</v>
      </c>
      <c r="M27" s="115"/>
    </row>
    <row r="28" spans="1:13">
      <c r="A28" s="53">
        <v>14</v>
      </c>
      <c r="B28" s="241" t="s">
        <v>1769</v>
      </c>
      <c r="C28" s="131" t="s">
        <v>1770</v>
      </c>
      <c r="D28" s="302"/>
      <c r="E28" s="665"/>
      <c r="F28" s="657"/>
      <c r="G28" s="96" t="s">
        <v>258</v>
      </c>
      <c r="H28" s="97" t="s">
        <v>1725</v>
      </c>
      <c r="I28" s="98">
        <v>16</v>
      </c>
      <c r="J28" s="91">
        <f t="shared" si="0"/>
        <v>0</v>
      </c>
      <c r="K28" s="739"/>
      <c r="L28" s="156">
        <f>K28/20</f>
        <v>0</v>
      </c>
      <c r="M28" s="100">
        <f>I28*K28</f>
        <v>0</v>
      </c>
    </row>
    <row r="29" spans="1:13">
      <c r="B29" s="112"/>
      <c r="C29" s="157"/>
      <c r="D29" s="78" t="s">
        <v>1771</v>
      </c>
      <c r="E29" s="664"/>
      <c r="F29" s="653"/>
      <c r="G29" s="79" t="s">
        <v>1772</v>
      </c>
      <c r="H29" s="80"/>
      <c r="I29" s="81"/>
      <c r="J29" s="91">
        <f t="shared" si="0"/>
        <v>0</v>
      </c>
      <c r="K29" s="740"/>
      <c r="L29" s="158" t="s">
        <v>254</v>
      </c>
      <c r="M29" s="115"/>
    </row>
    <row r="30" spans="1:13">
      <c r="A30" s="53">
        <v>15</v>
      </c>
      <c r="B30" s="241" t="s">
        <v>1773</v>
      </c>
      <c r="C30" s="131" t="s">
        <v>1774</v>
      </c>
      <c r="D30" s="302"/>
      <c r="E30" s="665"/>
      <c r="F30" s="657"/>
      <c r="G30" s="96" t="s">
        <v>258</v>
      </c>
      <c r="H30" s="97" t="s">
        <v>142</v>
      </c>
      <c r="I30" s="98">
        <v>2</v>
      </c>
      <c r="J30" s="91">
        <f t="shared" si="0"/>
        <v>0</v>
      </c>
      <c r="K30" s="738"/>
      <c r="L30" s="156">
        <f>K30/5</f>
        <v>0</v>
      </c>
      <c r="M30" s="100">
        <f>I30*K30</f>
        <v>0</v>
      </c>
    </row>
    <row r="31" spans="1:13">
      <c r="B31" s="112"/>
      <c r="C31" s="157"/>
      <c r="D31" s="78" t="s">
        <v>1729</v>
      </c>
      <c r="E31" s="664"/>
      <c r="F31" s="653"/>
      <c r="G31" s="79" t="s">
        <v>1775</v>
      </c>
      <c r="H31" s="80"/>
      <c r="I31" s="81"/>
      <c r="J31" s="91">
        <f t="shared" si="0"/>
        <v>0</v>
      </c>
      <c r="K31" s="738"/>
      <c r="L31" s="158" t="s">
        <v>254</v>
      </c>
      <c r="M31" s="115"/>
    </row>
    <row r="32" spans="1:13">
      <c r="A32" s="53">
        <v>16</v>
      </c>
      <c r="B32" s="241" t="s">
        <v>1776</v>
      </c>
      <c r="C32" s="131" t="s">
        <v>1777</v>
      </c>
      <c r="D32" s="302"/>
      <c r="E32" s="665"/>
      <c r="F32" s="657"/>
      <c r="G32" s="96" t="s">
        <v>258</v>
      </c>
      <c r="H32" s="97" t="s">
        <v>1725</v>
      </c>
      <c r="I32" s="98">
        <v>10</v>
      </c>
      <c r="J32" s="91">
        <f t="shared" si="0"/>
        <v>0</v>
      </c>
      <c r="K32" s="739"/>
      <c r="L32" s="156">
        <f>K32/16</f>
        <v>0</v>
      </c>
      <c r="M32" s="100">
        <f>K32*I32</f>
        <v>0</v>
      </c>
    </row>
    <row r="33" spans="1:13">
      <c r="B33" s="112"/>
      <c r="C33" s="157"/>
      <c r="D33" s="78" t="s">
        <v>1724</v>
      </c>
      <c r="E33" s="664"/>
      <c r="F33" s="653"/>
      <c r="G33" s="79" t="s">
        <v>1778</v>
      </c>
      <c r="H33" s="80"/>
      <c r="I33" s="81"/>
      <c r="J33" s="91">
        <f t="shared" si="0"/>
        <v>0</v>
      </c>
      <c r="K33" s="740"/>
      <c r="L33" s="158" t="s">
        <v>254</v>
      </c>
      <c r="M33" s="115"/>
    </row>
    <row r="34" spans="1:13">
      <c r="A34" s="53">
        <v>17</v>
      </c>
      <c r="B34" s="241" t="s">
        <v>1779</v>
      </c>
      <c r="C34" s="131" t="s">
        <v>1780</v>
      </c>
      <c r="D34" s="302"/>
      <c r="E34" s="665"/>
      <c r="F34" s="657"/>
      <c r="G34" s="96" t="s">
        <v>258</v>
      </c>
      <c r="H34" s="97" t="s">
        <v>142</v>
      </c>
      <c r="I34" s="98">
        <v>2</v>
      </c>
      <c r="J34" s="91">
        <f t="shared" si="0"/>
        <v>0</v>
      </c>
      <c r="K34" s="738"/>
      <c r="L34" s="156">
        <f>K34/2</f>
        <v>0</v>
      </c>
      <c r="M34" s="100">
        <f>I34*K34</f>
        <v>0</v>
      </c>
    </row>
    <row r="35" spans="1:13">
      <c r="B35" s="112"/>
      <c r="C35" s="157"/>
      <c r="D35" s="78" t="s">
        <v>1781</v>
      </c>
      <c r="E35" s="664"/>
      <c r="F35" s="653"/>
      <c r="G35" s="79" t="s">
        <v>1782</v>
      </c>
      <c r="H35" s="80"/>
      <c r="I35" s="81"/>
      <c r="J35" s="91">
        <f t="shared" si="0"/>
        <v>0</v>
      </c>
      <c r="K35" s="738"/>
      <c r="L35" s="158" t="s">
        <v>254</v>
      </c>
      <c r="M35" s="115"/>
    </row>
    <row r="36" spans="1:13">
      <c r="A36" s="53">
        <v>18</v>
      </c>
      <c r="B36" s="241" t="s">
        <v>1783</v>
      </c>
      <c r="C36" s="138" t="s">
        <v>1784</v>
      </c>
      <c r="D36" s="109" t="s">
        <v>1724</v>
      </c>
      <c r="E36" s="665"/>
      <c r="F36" s="657"/>
      <c r="G36" s="96" t="s">
        <v>1785</v>
      </c>
      <c r="H36" s="97" t="s">
        <v>142</v>
      </c>
      <c r="I36" s="98">
        <v>6</v>
      </c>
      <c r="J36" s="91">
        <f t="shared" si="0"/>
        <v>0</v>
      </c>
      <c r="K36" s="739"/>
      <c r="L36" s="156">
        <f t="shared" ref="L36:L38" si="1">K36/16</f>
        <v>0</v>
      </c>
      <c r="M36" s="100">
        <f t="shared" ref="M36:M39" si="2">I36*K36</f>
        <v>0</v>
      </c>
    </row>
    <row r="37" spans="1:13">
      <c r="A37" s="53">
        <v>19</v>
      </c>
      <c r="B37" s="116"/>
      <c r="C37" s="153" t="s">
        <v>1786</v>
      </c>
      <c r="D37" s="118" t="s">
        <v>1724</v>
      </c>
      <c r="E37" s="663"/>
      <c r="F37" s="662"/>
      <c r="G37" s="119" t="s">
        <v>1787</v>
      </c>
      <c r="H37" s="120"/>
      <c r="I37" s="121">
        <v>1</v>
      </c>
      <c r="J37" s="91">
        <f t="shared" si="0"/>
        <v>0</v>
      </c>
      <c r="K37" s="738"/>
      <c r="L37" s="159">
        <f t="shared" si="1"/>
        <v>0</v>
      </c>
      <c r="M37" s="123">
        <f t="shared" si="2"/>
        <v>0</v>
      </c>
    </row>
    <row r="38" spans="1:13">
      <c r="A38" s="53">
        <v>20</v>
      </c>
      <c r="B38" s="116"/>
      <c r="C38" s="148" t="s">
        <v>1788</v>
      </c>
      <c r="D38" s="118" t="s">
        <v>1789</v>
      </c>
      <c r="E38" s="663"/>
      <c r="F38" s="662"/>
      <c r="G38" s="119" t="s">
        <v>1790</v>
      </c>
      <c r="H38" s="71"/>
      <c r="I38" s="326">
        <v>3</v>
      </c>
      <c r="J38" s="91">
        <f t="shared" si="0"/>
        <v>0</v>
      </c>
      <c r="K38" s="738"/>
      <c r="L38" s="159">
        <f t="shared" si="1"/>
        <v>0</v>
      </c>
      <c r="M38" s="123">
        <f t="shared" si="2"/>
        <v>0</v>
      </c>
    </row>
    <row r="39" spans="1:13">
      <c r="A39" s="53">
        <v>21</v>
      </c>
      <c r="B39" s="112"/>
      <c r="C39" s="213" t="s">
        <v>1791</v>
      </c>
      <c r="D39" s="78" t="s">
        <v>1792</v>
      </c>
      <c r="E39" s="664"/>
      <c r="F39" s="653"/>
      <c r="G39" s="79" t="s">
        <v>1793</v>
      </c>
      <c r="H39" s="523"/>
      <c r="I39" s="392">
        <v>3</v>
      </c>
      <c r="J39" s="91">
        <f t="shared" si="0"/>
        <v>0</v>
      </c>
      <c r="K39" s="740"/>
      <c r="L39" s="158">
        <f>K39/20</f>
        <v>0</v>
      </c>
      <c r="M39" s="115">
        <f t="shared" si="2"/>
        <v>0</v>
      </c>
    </row>
    <row r="40" spans="1:13">
      <c r="A40" s="53">
        <v>22</v>
      </c>
      <c r="B40" s="524" t="s">
        <v>1794</v>
      </c>
      <c r="C40" s="131" t="s">
        <v>1795</v>
      </c>
      <c r="D40" s="109"/>
      <c r="E40" s="665"/>
      <c r="F40" s="657"/>
      <c r="G40" s="96" t="s">
        <v>258</v>
      </c>
      <c r="H40" s="97" t="s">
        <v>1725</v>
      </c>
      <c r="I40" s="98">
        <v>1</v>
      </c>
      <c r="J40" s="91">
        <f t="shared" si="0"/>
        <v>0</v>
      </c>
      <c r="K40" s="738"/>
      <c r="L40" s="156">
        <f>K40/10</f>
        <v>0</v>
      </c>
      <c r="M40" s="100">
        <f>K40*I40</f>
        <v>0</v>
      </c>
    </row>
    <row r="41" spans="1:13">
      <c r="B41" s="525"/>
      <c r="C41" s="157"/>
      <c r="D41" s="78" t="s">
        <v>1796</v>
      </c>
      <c r="E41" s="664"/>
      <c r="F41" s="653"/>
      <c r="G41" s="79" t="s">
        <v>1797</v>
      </c>
      <c r="H41" s="80"/>
      <c r="I41" s="81"/>
      <c r="J41" s="91">
        <f t="shared" si="0"/>
        <v>0</v>
      </c>
      <c r="K41" s="738"/>
      <c r="L41" s="158" t="s">
        <v>254</v>
      </c>
      <c r="M41" s="115"/>
    </row>
    <row r="42" spans="1:13">
      <c r="A42" s="53">
        <v>23</v>
      </c>
      <c r="B42" s="524" t="s">
        <v>1798</v>
      </c>
      <c r="C42" s="131" t="s">
        <v>1799</v>
      </c>
      <c r="D42" s="302"/>
      <c r="E42" s="665"/>
      <c r="F42" s="657"/>
      <c r="G42" s="96" t="s">
        <v>258</v>
      </c>
      <c r="H42" s="97" t="s">
        <v>142</v>
      </c>
      <c r="I42" s="98">
        <v>2</v>
      </c>
      <c r="J42" s="91">
        <f t="shared" si="0"/>
        <v>0</v>
      </c>
      <c r="K42" s="739"/>
      <c r="L42" s="156">
        <f>K42/8</f>
        <v>0</v>
      </c>
      <c r="M42" s="100">
        <f>I42*K42</f>
        <v>0</v>
      </c>
    </row>
    <row r="43" spans="1:13">
      <c r="B43" s="525"/>
      <c r="C43" s="157"/>
      <c r="D43" s="78" t="s">
        <v>1754</v>
      </c>
      <c r="E43" s="664"/>
      <c r="F43" s="653"/>
      <c r="G43" s="79" t="s">
        <v>1800</v>
      </c>
      <c r="H43" s="523"/>
      <c r="I43" s="392"/>
      <c r="J43" s="91">
        <f t="shared" si="0"/>
        <v>0</v>
      </c>
      <c r="K43" s="740"/>
      <c r="L43" s="158" t="s">
        <v>254</v>
      </c>
      <c r="M43" s="115"/>
    </row>
    <row r="44" spans="1:13">
      <c r="A44" s="53">
        <v>24</v>
      </c>
      <c r="B44" s="524" t="s">
        <v>1801</v>
      </c>
      <c r="C44" s="131" t="s">
        <v>1802</v>
      </c>
      <c r="D44" s="302"/>
      <c r="E44" s="665"/>
      <c r="F44" s="657"/>
      <c r="G44" s="96" t="s">
        <v>258</v>
      </c>
      <c r="H44" s="97" t="s">
        <v>142</v>
      </c>
      <c r="I44" s="98">
        <v>2</v>
      </c>
      <c r="J44" s="91">
        <f t="shared" si="0"/>
        <v>0</v>
      </c>
      <c r="K44" s="738"/>
      <c r="L44" s="156">
        <f>K44/12</f>
        <v>0</v>
      </c>
      <c r="M44" s="100">
        <f>I44*K44</f>
        <v>0</v>
      </c>
    </row>
    <row r="45" spans="1:13">
      <c r="B45" s="526"/>
      <c r="C45" s="136"/>
      <c r="D45" s="118" t="s">
        <v>1803</v>
      </c>
      <c r="E45" s="663"/>
      <c r="F45" s="662"/>
      <c r="G45" s="119" t="s">
        <v>1804</v>
      </c>
      <c r="H45" s="71"/>
      <c r="I45" s="326"/>
      <c r="J45" s="91">
        <f t="shared" si="0"/>
        <v>0</v>
      </c>
      <c r="K45" s="738"/>
      <c r="L45" s="159" t="s">
        <v>254</v>
      </c>
      <c r="M45" s="123"/>
    </row>
    <row r="46" spans="1:13">
      <c r="A46" s="53">
        <v>25</v>
      </c>
      <c r="B46" s="241" t="s">
        <v>1805</v>
      </c>
      <c r="C46" s="411" t="s">
        <v>1806</v>
      </c>
      <c r="D46" s="109" t="s">
        <v>1807</v>
      </c>
      <c r="E46" s="665"/>
      <c r="F46" s="657"/>
      <c r="G46" s="955" t="s">
        <v>1808</v>
      </c>
      <c r="H46" s="61" t="s">
        <v>1725</v>
      </c>
      <c r="I46" s="394">
        <v>10</v>
      </c>
      <c r="J46" s="91">
        <f t="shared" si="0"/>
        <v>0</v>
      </c>
      <c r="K46" s="739"/>
      <c r="L46" s="156">
        <f>K46/I46</f>
        <v>0</v>
      </c>
      <c r="M46" s="100">
        <f>I46*K46</f>
        <v>0</v>
      </c>
    </row>
    <row r="47" spans="1:13">
      <c r="B47" s="112"/>
      <c r="C47" s="413" t="s">
        <v>1809</v>
      </c>
      <c r="D47" s="130"/>
      <c r="E47" s="667"/>
      <c r="F47" s="662"/>
      <c r="G47" s="928"/>
      <c r="H47" s="71"/>
      <c r="I47" s="326"/>
      <c r="J47" s="527">
        <f t="shared" si="0"/>
        <v>0</v>
      </c>
      <c r="K47" s="738"/>
      <c r="L47" s="301"/>
      <c r="M47" s="123"/>
    </row>
    <row r="48" spans="1:13">
      <c r="B48" s="923" t="s">
        <v>1810</v>
      </c>
      <c r="C48" s="924"/>
      <c r="D48" s="924"/>
      <c r="E48" s="924"/>
      <c r="F48" s="924"/>
      <c r="G48" s="924"/>
      <c r="H48" s="924"/>
      <c r="I48" s="924"/>
      <c r="J48" s="167"/>
      <c r="K48" s="925">
        <f>SUM(M3:M47)</f>
        <v>0</v>
      </c>
      <c r="L48" s="924"/>
      <c r="M48" s="926"/>
    </row>
  </sheetData>
  <sheetProtection algorithmName="SHA-512" hashValue="l6pzZYPxgy0Pfzd3T75wEPtGBarPQ5uCuVu1GCSPdQUifwnRUUJgSyGhoYstjJCfg/6j8dRR5n6+IPGXK5nyDw==" saltValue="swSzumSt5k2dmOJ+f+tdeA==" spinCount="100000" sheet="1" objects="1" scenarios="1" selectLockedCells="1"/>
  <mergeCells count="6">
    <mergeCell ref="B2:M2"/>
    <mergeCell ref="B19:B20"/>
    <mergeCell ref="B22:B23"/>
    <mergeCell ref="G46:G47"/>
    <mergeCell ref="B48:I48"/>
    <mergeCell ref="K48:M48"/>
  </mergeCells>
  <pageMargins left="0.25" right="0.25" top="0.25" bottom="0.25" header="0.25" footer="0.25"/>
  <pageSetup scale="5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fitToPage="1"/>
  </sheetPr>
  <dimension ref="A1:AA1002"/>
  <sheetViews>
    <sheetView topLeftCell="A52" workbookViewId="0">
      <selection activeCell="E42" sqref="E42"/>
    </sheetView>
  </sheetViews>
  <sheetFormatPr defaultColWidth="14.42578125" defaultRowHeight="15" customHeight="1"/>
  <cols>
    <col min="1" max="1" width="3.5703125" customWidth="1"/>
    <col min="2" max="2" width="33.7109375" customWidth="1"/>
    <col min="3" max="3" width="64.85546875" customWidth="1"/>
    <col min="4" max="4" width="12.42578125" customWidth="1"/>
    <col min="5" max="5" width="12.85546875" customWidth="1"/>
    <col min="6" max="6" width="11.7109375" customWidth="1"/>
    <col min="7" max="7" width="35.5703125" customWidth="1"/>
    <col min="8" max="8" width="9.5703125" customWidth="1"/>
    <col min="9" max="9" width="9.42578125" customWidth="1"/>
    <col min="10" max="10" width="14.42578125" hidden="1"/>
    <col min="11" max="11" width="11" customWidth="1"/>
    <col min="12" max="12" width="11.28515625" customWidth="1"/>
    <col min="13" max="13" width="11.42578125" customWidth="1"/>
  </cols>
  <sheetData>
    <row r="1" spans="1:13">
      <c r="A1" s="60"/>
      <c r="B1" s="66" t="s">
        <v>93</v>
      </c>
      <c r="C1" s="67" t="s">
        <v>94</v>
      </c>
      <c r="D1" s="68" t="s">
        <v>95</v>
      </c>
      <c r="E1" s="69" t="s">
        <v>96</v>
      </c>
      <c r="F1" s="70" t="s">
        <v>97</v>
      </c>
      <c r="G1" s="71" t="s">
        <v>98</v>
      </c>
      <c r="H1" s="71" t="s">
        <v>99</v>
      </c>
      <c r="I1" s="72" t="s">
        <v>100</v>
      </c>
      <c r="J1" s="73" t="s">
        <v>101</v>
      </c>
      <c r="K1" s="74" t="s">
        <v>102</v>
      </c>
      <c r="L1" s="75" t="s">
        <v>103</v>
      </c>
      <c r="M1" s="71" t="s">
        <v>104</v>
      </c>
    </row>
    <row r="2" spans="1:13">
      <c r="A2" s="57"/>
      <c r="B2" s="956" t="s">
        <v>1811</v>
      </c>
      <c r="C2" s="915"/>
      <c r="D2" s="915"/>
      <c r="E2" s="915"/>
      <c r="F2" s="915"/>
      <c r="G2" s="915"/>
      <c r="H2" s="915"/>
      <c r="I2" s="915"/>
      <c r="J2" s="915"/>
      <c r="K2" s="915"/>
      <c r="L2" s="915"/>
      <c r="M2" s="916"/>
    </row>
    <row r="3" spans="1:13">
      <c r="A3" s="57">
        <v>1</v>
      </c>
      <c r="B3" s="76" t="s">
        <v>1812</v>
      </c>
      <c r="C3" s="132" t="s">
        <v>1813</v>
      </c>
      <c r="D3" s="302"/>
      <c r="E3" s="665"/>
      <c r="F3" s="718"/>
      <c r="G3" s="96" t="s">
        <v>156</v>
      </c>
      <c r="H3" s="97" t="s">
        <v>142</v>
      </c>
      <c r="I3" s="98">
        <v>20</v>
      </c>
      <c r="J3" s="91">
        <f t="shared" ref="J3:J13" si="0">(K3*8%)+K3</f>
        <v>0</v>
      </c>
      <c r="K3" s="674"/>
      <c r="L3" s="156">
        <f>K3/200</f>
        <v>0</v>
      </c>
      <c r="M3" s="100">
        <f>(I3*K3)</f>
        <v>0</v>
      </c>
    </row>
    <row r="4" spans="1:13">
      <c r="A4" s="57"/>
      <c r="B4" s="112"/>
      <c r="C4" s="157"/>
      <c r="D4" s="78" t="s">
        <v>1814</v>
      </c>
      <c r="E4" s="664"/>
      <c r="F4" s="653"/>
      <c r="G4" s="79" t="s">
        <v>1815</v>
      </c>
      <c r="H4" s="80"/>
      <c r="I4" s="81"/>
      <c r="J4" s="106">
        <f t="shared" si="0"/>
        <v>0</v>
      </c>
      <c r="K4" s="738"/>
      <c r="L4" s="158"/>
      <c r="M4" s="115"/>
    </row>
    <row r="5" spans="1:13">
      <c r="A5" s="57">
        <v>2</v>
      </c>
      <c r="B5" s="76" t="s">
        <v>1816</v>
      </c>
      <c r="C5" s="131" t="s">
        <v>1817</v>
      </c>
      <c r="D5" s="109"/>
      <c r="E5" s="665"/>
      <c r="F5" s="657"/>
      <c r="G5" s="96" t="s">
        <v>156</v>
      </c>
      <c r="H5" s="97" t="s">
        <v>142</v>
      </c>
      <c r="I5" s="98">
        <v>600</v>
      </c>
      <c r="J5" s="91">
        <f t="shared" si="0"/>
        <v>0</v>
      </c>
      <c r="K5" s="739"/>
      <c r="L5" s="156">
        <f>K5/500</f>
        <v>0</v>
      </c>
      <c r="M5" s="100">
        <f>I5*K5</f>
        <v>0</v>
      </c>
    </row>
    <row r="6" spans="1:13">
      <c r="B6" s="112"/>
      <c r="C6" s="162"/>
      <c r="D6" s="78" t="s">
        <v>1818</v>
      </c>
      <c r="E6" s="664"/>
      <c r="F6" s="653"/>
      <c r="G6" s="79" t="s">
        <v>1819</v>
      </c>
      <c r="H6" s="80"/>
      <c r="I6" s="81"/>
      <c r="J6" s="127">
        <f t="shared" si="0"/>
        <v>0</v>
      </c>
      <c r="K6" s="740"/>
      <c r="L6" s="158"/>
      <c r="M6" s="115"/>
    </row>
    <row r="7" spans="1:13">
      <c r="A7" s="53">
        <v>3</v>
      </c>
      <c r="B7" s="85" t="s">
        <v>1820</v>
      </c>
      <c r="C7" s="395" t="s">
        <v>1821</v>
      </c>
      <c r="D7" s="87" t="s">
        <v>1822</v>
      </c>
      <c r="E7" s="654"/>
      <c r="F7" s="655"/>
      <c r="G7" s="88" t="s">
        <v>1823</v>
      </c>
      <c r="H7" s="89" t="s">
        <v>142</v>
      </c>
      <c r="I7" s="90">
        <v>600</v>
      </c>
      <c r="J7" s="127">
        <f t="shared" si="0"/>
        <v>0</v>
      </c>
      <c r="K7" s="740"/>
      <c r="L7" s="161">
        <f>K7/500</f>
        <v>0</v>
      </c>
      <c r="M7" s="100">
        <f>I7*K7</f>
        <v>0</v>
      </c>
    </row>
    <row r="8" spans="1:13">
      <c r="A8" s="53">
        <v>4</v>
      </c>
      <c r="B8" s="76" t="s">
        <v>1824</v>
      </c>
      <c r="C8" s="131" t="s">
        <v>1825</v>
      </c>
      <c r="D8" s="302"/>
      <c r="E8" s="665"/>
      <c r="F8" s="657"/>
      <c r="G8" s="96" t="s">
        <v>230</v>
      </c>
      <c r="H8" s="97"/>
      <c r="I8" s="98"/>
      <c r="J8" s="91">
        <f t="shared" si="0"/>
        <v>0</v>
      </c>
      <c r="K8" s="739"/>
      <c r="L8" s="156"/>
      <c r="M8" s="100"/>
    </row>
    <row r="9" spans="1:13">
      <c r="B9" s="116"/>
      <c r="C9" s="153" t="s">
        <v>1826</v>
      </c>
      <c r="D9" s="118" t="s">
        <v>1827</v>
      </c>
      <c r="E9" s="663"/>
      <c r="F9" s="662"/>
      <c r="G9" s="119" t="s">
        <v>1828</v>
      </c>
      <c r="H9" s="120" t="s">
        <v>142</v>
      </c>
      <c r="I9" s="121">
        <v>10</v>
      </c>
      <c r="J9" s="91">
        <f t="shared" si="0"/>
        <v>0</v>
      </c>
      <c r="K9" s="738"/>
      <c r="L9" s="159">
        <f t="shared" ref="L9:L10" si="1">K9/500</f>
        <v>0</v>
      </c>
      <c r="M9" s="123">
        <f t="shared" ref="M9:M12" si="2">I9*K9</f>
        <v>0</v>
      </c>
    </row>
    <row r="10" spans="1:13">
      <c r="B10" s="116"/>
      <c r="C10" s="239" t="s">
        <v>1829</v>
      </c>
      <c r="D10" s="118" t="s">
        <v>1827</v>
      </c>
      <c r="E10" s="663"/>
      <c r="F10" s="662"/>
      <c r="G10" s="119" t="s">
        <v>1830</v>
      </c>
      <c r="H10" s="120" t="s">
        <v>142</v>
      </c>
      <c r="I10" s="121">
        <v>10</v>
      </c>
      <c r="J10" s="91">
        <f t="shared" si="0"/>
        <v>0</v>
      </c>
      <c r="K10" s="738"/>
      <c r="L10" s="159">
        <f t="shared" si="1"/>
        <v>0</v>
      </c>
      <c r="M10" s="123">
        <f t="shared" si="2"/>
        <v>0</v>
      </c>
    </row>
    <row r="11" spans="1:13">
      <c r="B11" s="112"/>
      <c r="C11" s="226" t="s">
        <v>1831</v>
      </c>
      <c r="D11" s="78" t="s">
        <v>1832</v>
      </c>
      <c r="E11" s="664"/>
      <c r="F11" s="653"/>
      <c r="G11" s="79" t="s">
        <v>1833</v>
      </c>
      <c r="H11" s="80" t="s">
        <v>142</v>
      </c>
      <c r="I11" s="81">
        <v>42</v>
      </c>
      <c r="J11" s="127">
        <f t="shared" si="0"/>
        <v>0</v>
      </c>
      <c r="K11" s="740"/>
      <c r="L11" s="158">
        <f>K11/250</f>
        <v>0</v>
      </c>
      <c r="M11" s="115">
        <f t="shared" si="2"/>
        <v>0</v>
      </c>
    </row>
    <row r="12" spans="1:13">
      <c r="A12" s="53">
        <v>5</v>
      </c>
      <c r="B12" s="76" t="s">
        <v>1834</v>
      </c>
      <c r="C12" s="138" t="s">
        <v>1835</v>
      </c>
      <c r="D12" s="109" t="s">
        <v>1836</v>
      </c>
      <c r="E12" s="660"/>
      <c r="F12" s="657"/>
      <c r="G12" s="96" t="s">
        <v>1837</v>
      </c>
      <c r="H12" s="97" t="s">
        <v>142</v>
      </c>
      <c r="I12" s="98">
        <v>17</v>
      </c>
      <c r="J12" s="106">
        <f t="shared" si="0"/>
        <v>0</v>
      </c>
      <c r="K12" s="732"/>
      <c r="L12" s="169">
        <f t="shared" ref="L12:L13" si="3">K12/2000</f>
        <v>0</v>
      </c>
      <c r="M12" s="100">
        <f t="shared" si="2"/>
        <v>0</v>
      </c>
    </row>
    <row r="13" spans="1:13">
      <c r="B13" s="116"/>
      <c r="C13" s="153" t="s">
        <v>1838</v>
      </c>
      <c r="D13" s="118" t="s">
        <v>1836</v>
      </c>
      <c r="E13" s="669"/>
      <c r="F13" s="662"/>
      <c r="G13" s="119" t="s">
        <v>1839</v>
      </c>
      <c r="H13" s="120" t="s">
        <v>142</v>
      </c>
      <c r="I13" s="121">
        <v>13</v>
      </c>
      <c r="J13" s="140">
        <f t="shared" si="0"/>
        <v>0</v>
      </c>
      <c r="K13" s="733"/>
      <c r="L13" s="200">
        <f t="shared" si="3"/>
        <v>0</v>
      </c>
      <c r="M13" s="123"/>
    </row>
    <row r="14" spans="1:13">
      <c r="B14" s="927" t="s">
        <v>1840</v>
      </c>
      <c r="C14" s="94"/>
      <c r="D14" s="302"/>
      <c r="E14" s="660"/>
      <c r="F14" s="657"/>
      <c r="G14" s="96" t="s">
        <v>1841</v>
      </c>
      <c r="H14" s="97"/>
      <c r="I14" s="98"/>
      <c r="J14" s="106"/>
      <c r="K14" s="732"/>
      <c r="L14" s="169"/>
      <c r="M14" s="100"/>
    </row>
    <row r="15" spans="1:13">
      <c r="A15" s="53">
        <v>6</v>
      </c>
      <c r="B15" s="931"/>
      <c r="C15" s="117" t="s">
        <v>1842</v>
      </c>
      <c r="D15" s="118" t="s">
        <v>1843</v>
      </c>
      <c r="E15" s="669"/>
      <c r="F15" s="662"/>
      <c r="G15" s="199" t="s">
        <v>1844</v>
      </c>
      <c r="H15" s="120" t="s">
        <v>142</v>
      </c>
      <c r="I15" s="257">
        <v>10</v>
      </c>
      <c r="J15" s="140"/>
      <c r="K15" s="733"/>
      <c r="L15" s="200">
        <f t="shared" ref="L15:L20" si="4">K15/2500</f>
        <v>0</v>
      </c>
      <c r="M15" s="123">
        <f t="shared" ref="M15:M27" si="5">(I15*K15)</f>
        <v>0</v>
      </c>
    </row>
    <row r="16" spans="1:13">
      <c r="A16" s="53">
        <v>7</v>
      </c>
      <c r="B16" s="116"/>
      <c r="C16" s="117" t="s">
        <v>1845</v>
      </c>
      <c r="D16" s="118" t="s">
        <v>1843</v>
      </c>
      <c r="E16" s="669"/>
      <c r="F16" s="662"/>
      <c r="G16" s="199" t="s">
        <v>1846</v>
      </c>
      <c r="H16" s="120" t="s">
        <v>142</v>
      </c>
      <c r="I16" s="257">
        <v>10</v>
      </c>
      <c r="J16" s="140"/>
      <c r="K16" s="733"/>
      <c r="L16" s="200">
        <f t="shared" si="4"/>
        <v>0</v>
      </c>
      <c r="M16" s="123">
        <f t="shared" si="5"/>
        <v>0</v>
      </c>
    </row>
    <row r="17" spans="1:13">
      <c r="A17" s="53">
        <v>8</v>
      </c>
      <c r="B17" s="116"/>
      <c r="C17" s="117" t="s">
        <v>1847</v>
      </c>
      <c r="D17" s="118" t="s">
        <v>1843</v>
      </c>
      <c r="E17" s="669"/>
      <c r="F17" s="662"/>
      <c r="G17" s="199" t="s">
        <v>1848</v>
      </c>
      <c r="H17" s="120" t="s">
        <v>142</v>
      </c>
      <c r="I17" s="257">
        <v>10</v>
      </c>
      <c r="J17" s="140"/>
      <c r="K17" s="733"/>
      <c r="L17" s="200">
        <f t="shared" si="4"/>
        <v>0</v>
      </c>
      <c r="M17" s="123">
        <f t="shared" si="5"/>
        <v>0</v>
      </c>
    </row>
    <row r="18" spans="1:13">
      <c r="A18" s="53">
        <v>9</v>
      </c>
      <c r="B18" s="116"/>
      <c r="C18" s="117" t="s">
        <v>1849</v>
      </c>
      <c r="D18" s="118" t="s">
        <v>1843</v>
      </c>
      <c r="E18" s="669"/>
      <c r="F18" s="662"/>
      <c r="G18" s="199" t="s">
        <v>1850</v>
      </c>
      <c r="H18" s="120" t="s">
        <v>142</v>
      </c>
      <c r="I18" s="257">
        <v>10</v>
      </c>
      <c r="J18" s="140"/>
      <c r="K18" s="733"/>
      <c r="L18" s="200">
        <f t="shared" si="4"/>
        <v>0</v>
      </c>
      <c r="M18" s="123">
        <f t="shared" si="5"/>
        <v>0</v>
      </c>
    </row>
    <row r="19" spans="1:13">
      <c r="A19" s="53">
        <v>10</v>
      </c>
      <c r="B19" s="116"/>
      <c r="C19" s="117" t="s">
        <v>1851</v>
      </c>
      <c r="D19" s="118" t="s">
        <v>1843</v>
      </c>
      <c r="E19" s="669"/>
      <c r="F19" s="662"/>
      <c r="G19" s="119" t="s">
        <v>1852</v>
      </c>
      <c r="H19" s="120" t="s">
        <v>142</v>
      </c>
      <c r="I19" s="121">
        <v>10</v>
      </c>
      <c r="J19" s="140"/>
      <c r="K19" s="733"/>
      <c r="L19" s="200">
        <f t="shared" si="4"/>
        <v>0</v>
      </c>
      <c r="M19" s="123">
        <f t="shared" si="5"/>
        <v>0</v>
      </c>
    </row>
    <row r="20" spans="1:13">
      <c r="A20" s="53">
        <v>11</v>
      </c>
      <c r="B20" s="116"/>
      <c r="C20" s="305" t="s">
        <v>1853</v>
      </c>
      <c r="D20" s="118" t="s">
        <v>1843</v>
      </c>
      <c r="E20" s="669"/>
      <c r="F20" s="662"/>
      <c r="G20" s="119" t="s">
        <v>1854</v>
      </c>
      <c r="H20" s="120" t="s">
        <v>142</v>
      </c>
      <c r="I20" s="121">
        <v>10</v>
      </c>
      <c r="J20" s="140"/>
      <c r="K20" s="733"/>
      <c r="L20" s="200">
        <f t="shared" si="4"/>
        <v>0</v>
      </c>
      <c r="M20" s="123">
        <f t="shared" si="5"/>
        <v>0</v>
      </c>
    </row>
    <row r="21" spans="1:13">
      <c r="A21" s="53">
        <v>12</v>
      </c>
      <c r="B21" s="116"/>
      <c r="C21" s="305" t="s">
        <v>1855</v>
      </c>
      <c r="D21" s="118" t="s">
        <v>1856</v>
      </c>
      <c r="E21" s="669"/>
      <c r="F21" s="662"/>
      <c r="G21" s="119" t="s">
        <v>1857</v>
      </c>
      <c r="H21" s="120" t="s">
        <v>142</v>
      </c>
      <c r="I21" s="121">
        <v>16</v>
      </c>
      <c r="J21" s="140">
        <f>(K21*8%)+K21</f>
        <v>0</v>
      </c>
      <c r="K21" s="733"/>
      <c r="L21" s="200">
        <f t="shared" ref="L21:L26" si="6">K21/1000</f>
        <v>0</v>
      </c>
      <c r="M21" s="123">
        <f t="shared" si="5"/>
        <v>0</v>
      </c>
    </row>
    <row r="22" spans="1:13">
      <c r="A22" s="53">
        <v>13</v>
      </c>
      <c r="B22" s="116"/>
      <c r="C22" s="305" t="s">
        <v>1858</v>
      </c>
      <c r="D22" s="118" t="s">
        <v>1859</v>
      </c>
      <c r="E22" s="669"/>
      <c r="F22" s="662"/>
      <c r="G22" s="119" t="s">
        <v>1860</v>
      </c>
      <c r="H22" s="120" t="s">
        <v>142</v>
      </c>
      <c r="I22" s="121">
        <v>15</v>
      </c>
      <c r="J22" s="140"/>
      <c r="K22" s="733"/>
      <c r="L22" s="200">
        <f t="shared" si="6"/>
        <v>0</v>
      </c>
      <c r="M22" s="123">
        <f t="shared" si="5"/>
        <v>0</v>
      </c>
    </row>
    <row r="23" spans="1:13">
      <c r="A23" s="53">
        <v>14</v>
      </c>
      <c r="B23" s="116"/>
      <c r="C23" s="305" t="s">
        <v>1861</v>
      </c>
      <c r="D23" s="118" t="s">
        <v>1856</v>
      </c>
      <c r="E23" s="669"/>
      <c r="F23" s="662"/>
      <c r="G23" s="119" t="s">
        <v>1862</v>
      </c>
      <c r="H23" s="120" t="s">
        <v>142</v>
      </c>
      <c r="I23" s="121">
        <v>15</v>
      </c>
      <c r="J23" s="140">
        <f>(K23*8%)+K23</f>
        <v>0</v>
      </c>
      <c r="K23" s="733"/>
      <c r="L23" s="200">
        <f t="shared" si="6"/>
        <v>0</v>
      </c>
      <c r="M23" s="123">
        <f t="shared" si="5"/>
        <v>0</v>
      </c>
    </row>
    <row r="24" spans="1:13">
      <c r="A24" s="53">
        <v>15</v>
      </c>
      <c r="B24" s="116"/>
      <c r="C24" s="305" t="s">
        <v>1863</v>
      </c>
      <c r="D24" s="118" t="s">
        <v>1859</v>
      </c>
      <c r="E24" s="669"/>
      <c r="F24" s="662"/>
      <c r="G24" s="119" t="s">
        <v>1864</v>
      </c>
      <c r="H24" s="120" t="s">
        <v>142</v>
      </c>
      <c r="I24" s="121">
        <v>10</v>
      </c>
      <c r="J24" s="140"/>
      <c r="K24" s="733"/>
      <c r="L24" s="200">
        <f t="shared" si="6"/>
        <v>0</v>
      </c>
      <c r="M24" s="123">
        <f t="shared" si="5"/>
        <v>0</v>
      </c>
    </row>
    <row r="25" spans="1:13">
      <c r="A25" s="53">
        <v>16</v>
      </c>
      <c r="B25" s="116"/>
      <c r="C25" s="135" t="s">
        <v>1865</v>
      </c>
      <c r="D25" s="118" t="s">
        <v>1856</v>
      </c>
      <c r="E25" s="669"/>
      <c r="F25" s="662"/>
      <c r="G25" s="119" t="s">
        <v>1866</v>
      </c>
      <c r="H25" s="120" t="s">
        <v>142</v>
      </c>
      <c r="I25" s="121">
        <v>15</v>
      </c>
      <c r="J25" s="140">
        <f>(K25*8%)+K25</f>
        <v>0</v>
      </c>
      <c r="K25" s="733"/>
      <c r="L25" s="200">
        <f t="shared" si="6"/>
        <v>0</v>
      </c>
      <c r="M25" s="123">
        <f t="shared" si="5"/>
        <v>0</v>
      </c>
    </row>
    <row r="26" spans="1:13">
      <c r="A26" s="53">
        <v>17</v>
      </c>
      <c r="B26" s="116"/>
      <c r="C26" s="135" t="s">
        <v>1867</v>
      </c>
      <c r="D26" s="118" t="s">
        <v>1856</v>
      </c>
      <c r="E26" s="669"/>
      <c r="F26" s="662"/>
      <c r="G26" s="119" t="s">
        <v>1868</v>
      </c>
      <c r="H26" s="120" t="s">
        <v>142</v>
      </c>
      <c r="I26" s="121">
        <v>15</v>
      </c>
      <c r="J26" s="140"/>
      <c r="K26" s="733"/>
      <c r="L26" s="528">
        <f t="shared" si="6"/>
        <v>0</v>
      </c>
      <c r="M26" s="123">
        <f t="shared" si="5"/>
        <v>0</v>
      </c>
    </row>
    <row r="27" spans="1:13">
      <c r="A27" s="53">
        <v>18</v>
      </c>
      <c r="B27" s="112"/>
      <c r="C27" s="162" t="s">
        <v>1869</v>
      </c>
      <c r="D27" s="78" t="s">
        <v>1870</v>
      </c>
      <c r="E27" s="652"/>
      <c r="F27" s="653"/>
      <c r="G27" s="79" t="s">
        <v>1871</v>
      </c>
      <c r="H27" s="80" t="s">
        <v>142</v>
      </c>
      <c r="I27" s="81">
        <v>20</v>
      </c>
      <c r="J27" s="114">
        <f t="shared" ref="J27:J32" si="7">(K27*8%)+K27</f>
        <v>0</v>
      </c>
      <c r="K27" s="734"/>
      <c r="L27" s="178">
        <f>K27/500</f>
        <v>0</v>
      </c>
      <c r="M27" s="115">
        <f t="shared" si="5"/>
        <v>0</v>
      </c>
    </row>
    <row r="28" spans="1:13">
      <c r="B28" s="116"/>
      <c r="C28" s="170" t="s">
        <v>1872</v>
      </c>
      <c r="D28" s="130"/>
      <c r="E28" s="661"/>
      <c r="F28" s="662"/>
      <c r="G28" s="199" t="s">
        <v>1873</v>
      </c>
      <c r="H28" s="120"/>
      <c r="I28" s="121"/>
      <c r="J28" s="82">
        <f t="shared" si="7"/>
        <v>0</v>
      </c>
      <c r="K28" s="738"/>
      <c r="L28" s="328"/>
      <c r="M28" s="123"/>
    </row>
    <row r="29" spans="1:13">
      <c r="A29" s="53">
        <v>19</v>
      </c>
      <c r="B29" s="116" t="s">
        <v>1874</v>
      </c>
      <c r="C29" s="326" t="s">
        <v>1875</v>
      </c>
      <c r="D29" s="118" t="s">
        <v>1876</v>
      </c>
      <c r="E29" s="663"/>
      <c r="F29" s="662"/>
      <c r="G29" s="119" t="s">
        <v>1877</v>
      </c>
      <c r="H29" s="120" t="s">
        <v>142</v>
      </c>
      <c r="I29" s="121">
        <v>4</v>
      </c>
      <c r="J29" s="91">
        <f t="shared" si="7"/>
        <v>0</v>
      </c>
      <c r="K29" s="738"/>
      <c r="L29" s="159">
        <f t="shared" ref="L29:L32" si="8">K29/1000</f>
        <v>0</v>
      </c>
      <c r="M29" s="123">
        <f t="shared" ref="M29:M32" si="9">I29*K29</f>
        <v>0</v>
      </c>
    </row>
    <row r="30" spans="1:13">
      <c r="A30" s="53">
        <v>20</v>
      </c>
      <c r="B30" s="116"/>
      <c r="C30" s="326"/>
      <c r="D30" s="118" t="s">
        <v>1876</v>
      </c>
      <c r="E30" s="663"/>
      <c r="F30" s="662"/>
      <c r="G30" s="119" t="s">
        <v>1878</v>
      </c>
      <c r="H30" s="120" t="s">
        <v>142</v>
      </c>
      <c r="I30" s="121">
        <v>30</v>
      </c>
      <c r="J30" s="91">
        <f t="shared" si="7"/>
        <v>0</v>
      </c>
      <c r="K30" s="738"/>
      <c r="L30" s="159">
        <f t="shared" si="8"/>
        <v>0</v>
      </c>
      <c r="M30" s="123">
        <f t="shared" si="9"/>
        <v>0</v>
      </c>
    </row>
    <row r="31" spans="1:13">
      <c r="A31" s="53">
        <v>21</v>
      </c>
      <c r="B31" s="116"/>
      <c r="C31" s="136"/>
      <c r="D31" s="118" t="s">
        <v>1876</v>
      </c>
      <c r="E31" s="663"/>
      <c r="F31" s="662"/>
      <c r="G31" s="119" t="s">
        <v>1879</v>
      </c>
      <c r="H31" s="120" t="s">
        <v>142</v>
      </c>
      <c r="I31" s="121">
        <v>16</v>
      </c>
      <c r="J31" s="91">
        <f t="shared" si="7"/>
        <v>0</v>
      </c>
      <c r="K31" s="738"/>
      <c r="L31" s="159">
        <f t="shared" si="8"/>
        <v>0</v>
      </c>
      <c r="M31" s="123">
        <f t="shared" si="9"/>
        <v>0</v>
      </c>
    </row>
    <row r="32" spans="1:13">
      <c r="A32" s="53">
        <v>22</v>
      </c>
      <c r="B32" s="116"/>
      <c r="C32" s="136"/>
      <c r="D32" s="118" t="s">
        <v>1876</v>
      </c>
      <c r="E32" s="667"/>
      <c r="F32" s="662"/>
      <c r="G32" s="119" t="s">
        <v>1880</v>
      </c>
      <c r="H32" s="120" t="s">
        <v>142</v>
      </c>
      <c r="I32" s="121">
        <v>10</v>
      </c>
      <c r="J32" s="106">
        <f t="shared" si="7"/>
        <v>0</v>
      </c>
      <c r="K32" s="738"/>
      <c r="L32" s="301">
        <f t="shared" si="8"/>
        <v>0</v>
      </c>
      <c r="M32" s="123">
        <f t="shared" si="9"/>
        <v>0</v>
      </c>
    </row>
    <row r="33" spans="1:13">
      <c r="B33" s="241" t="s">
        <v>1881</v>
      </c>
      <c r="C33" s="945" t="s">
        <v>1882</v>
      </c>
      <c r="D33" s="109" t="s">
        <v>1883</v>
      </c>
      <c r="E33" s="660"/>
      <c r="F33" s="657"/>
      <c r="G33" s="168" t="s">
        <v>1884</v>
      </c>
      <c r="H33" s="97"/>
      <c r="I33" s="98"/>
      <c r="J33" s="106"/>
      <c r="K33" s="739"/>
      <c r="L33" s="169"/>
      <c r="M33" s="100"/>
    </row>
    <row r="34" spans="1:13">
      <c r="A34" s="53">
        <v>23</v>
      </c>
      <c r="B34" s="116"/>
      <c r="C34" s="931"/>
      <c r="D34" s="118"/>
      <c r="E34" s="669"/>
      <c r="F34" s="662"/>
      <c r="G34" s="199" t="s">
        <v>1885</v>
      </c>
      <c r="H34" s="120" t="s">
        <v>142</v>
      </c>
      <c r="I34" s="121">
        <v>4</v>
      </c>
      <c r="J34" s="91">
        <f t="shared" ref="J34:J36" si="10">(K34*8%)+K34</f>
        <v>0</v>
      </c>
      <c r="K34" s="738"/>
      <c r="L34" s="159">
        <f t="shared" ref="L34:L35" si="11">K34/1200</f>
        <v>0</v>
      </c>
      <c r="M34" s="123">
        <f t="shared" ref="M34:M36" si="12">I34*K34</f>
        <v>0</v>
      </c>
    </row>
    <row r="35" spans="1:13">
      <c r="A35" s="53">
        <v>24</v>
      </c>
      <c r="B35" s="112"/>
      <c r="C35" s="928"/>
      <c r="D35" s="78"/>
      <c r="E35" s="652"/>
      <c r="F35" s="653"/>
      <c r="G35" s="214" t="s">
        <v>1886</v>
      </c>
      <c r="H35" s="80" t="s">
        <v>142</v>
      </c>
      <c r="I35" s="81">
        <v>30</v>
      </c>
      <c r="J35" s="127">
        <f t="shared" si="10"/>
        <v>0</v>
      </c>
      <c r="K35" s="740"/>
      <c r="L35" s="158">
        <f t="shared" si="11"/>
        <v>0</v>
      </c>
      <c r="M35" s="115">
        <f t="shared" si="12"/>
        <v>0</v>
      </c>
    </row>
    <row r="36" spans="1:13">
      <c r="B36" s="253" t="s">
        <v>1887</v>
      </c>
      <c r="C36" s="529" t="s">
        <v>1888</v>
      </c>
      <c r="D36" s="118" t="s">
        <v>1889</v>
      </c>
      <c r="E36" s="669"/>
      <c r="F36" s="662"/>
      <c r="G36" s="199" t="s">
        <v>1890</v>
      </c>
      <c r="H36" s="120" t="s">
        <v>142</v>
      </c>
      <c r="I36" s="257">
        <v>30</v>
      </c>
      <c r="J36" s="91">
        <f t="shared" si="10"/>
        <v>0</v>
      </c>
      <c r="K36" s="738"/>
      <c r="L36" s="159">
        <f>K36/2000</f>
        <v>0</v>
      </c>
      <c r="M36" s="123">
        <f t="shared" si="12"/>
        <v>0</v>
      </c>
    </row>
    <row r="37" spans="1:13">
      <c r="A37" s="53">
        <v>25</v>
      </c>
      <c r="B37" s="112"/>
      <c r="C37" s="213"/>
      <c r="D37" s="78"/>
      <c r="E37" s="652"/>
      <c r="F37" s="653"/>
      <c r="G37" s="214" t="s">
        <v>1891</v>
      </c>
      <c r="H37" s="80"/>
      <c r="I37" s="81"/>
      <c r="J37" s="127"/>
      <c r="K37" s="740"/>
      <c r="L37" s="178"/>
      <c r="M37" s="115"/>
    </row>
    <row r="38" spans="1:13">
      <c r="A38" s="53">
        <v>26</v>
      </c>
      <c r="B38" s="76" t="s">
        <v>1892</v>
      </c>
      <c r="C38" s="138" t="s">
        <v>1893</v>
      </c>
      <c r="D38" s="109" t="s">
        <v>1894</v>
      </c>
      <c r="E38" s="660"/>
      <c r="F38" s="657"/>
      <c r="G38" s="168" t="s">
        <v>1895</v>
      </c>
      <c r="H38" s="97" t="s">
        <v>142</v>
      </c>
      <c r="I38" s="98">
        <v>12</v>
      </c>
      <c r="J38" s="106">
        <f t="shared" ref="J38:J39" si="13">(K38*8%)+K38</f>
        <v>0</v>
      </c>
      <c r="K38" s="732"/>
      <c r="L38" s="169">
        <f t="shared" ref="L38:L39" si="14">K38/1000</f>
        <v>0</v>
      </c>
      <c r="M38" s="100">
        <f t="shared" ref="M38:M39" si="15">I38*K38</f>
        <v>0</v>
      </c>
    </row>
    <row r="39" spans="1:13">
      <c r="A39" s="53">
        <v>27</v>
      </c>
      <c r="B39" s="112" t="s">
        <v>1892</v>
      </c>
      <c r="C39" s="213" t="s">
        <v>1896</v>
      </c>
      <c r="D39" s="78" t="s">
        <v>1894</v>
      </c>
      <c r="E39" s="652"/>
      <c r="F39" s="653"/>
      <c r="G39" s="214" t="s">
        <v>1897</v>
      </c>
      <c r="H39" s="80" t="s">
        <v>142</v>
      </c>
      <c r="I39" s="81"/>
      <c r="J39" s="114">
        <f t="shared" si="13"/>
        <v>0</v>
      </c>
      <c r="K39" s="734"/>
      <c r="L39" s="178">
        <f t="shared" si="14"/>
        <v>0</v>
      </c>
      <c r="M39" s="115">
        <f t="shared" si="15"/>
        <v>0</v>
      </c>
    </row>
    <row r="40" spans="1:13">
      <c r="A40" s="53">
        <v>28</v>
      </c>
      <c r="B40" s="253" t="s">
        <v>1898</v>
      </c>
      <c r="C40" s="153" t="s">
        <v>1899</v>
      </c>
      <c r="D40" s="292">
        <v>1000</v>
      </c>
      <c r="E40" s="669"/>
      <c r="F40" s="662"/>
      <c r="G40" s="199" t="s">
        <v>1900</v>
      </c>
      <c r="H40" s="389" t="s">
        <v>142</v>
      </c>
      <c r="I40" s="257">
        <v>15</v>
      </c>
      <c r="J40" s="140"/>
      <c r="K40" s="738"/>
      <c r="L40" s="200">
        <f t="shared" ref="L40:L41" si="16">K40/1000</f>
        <v>0</v>
      </c>
      <c r="M40" s="123">
        <f>K40*I40</f>
        <v>0</v>
      </c>
    </row>
    <row r="41" spans="1:13">
      <c r="A41" s="53">
        <v>29</v>
      </c>
      <c r="B41" s="116"/>
      <c r="C41" s="153" t="s">
        <v>1901</v>
      </c>
      <c r="D41" s="292">
        <v>1000</v>
      </c>
      <c r="E41" s="669"/>
      <c r="F41" s="662"/>
      <c r="G41" s="199" t="s">
        <v>1902</v>
      </c>
      <c r="H41" s="120"/>
      <c r="I41" s="257">
        <v>15</v>
      </c>
      <c r="J41" s="140"/>
      <c r="K41" s="738"/>
      <c r="L41" s="200">
        <f t="shared" si="16"/>
        <v>0</v>
      </c>
      <c r="M41" s="123">
        <f>L41*I41</f>
        <v>0</v>
      </c>
    </row>
    <row r="42" spans="1:13">
      <c r="A42" s="53">
        <v>30</v>
      </c>
      <c r="B42" s="76" t="s">
        <v>1903</v>
      </c>
      <c r="C42" s="138" t="s">
        <v>1904</v>
      </c>
      <c r="D42" s="530" t="s">
        <v>1905</v>
      </c>
      <c r="E42" s="665"/>
      <c r="F42" s="657"/>
      <c r="G42" s="96" t="s">
        <v>1906</v>
      </c>
      <c r="H42" s="97" t="s">
        <v>142</v>
      </c>
      <c r="I42" s="98">
        <v>6</v>
      </c>
      <c r="J42" s="91">
        <f t="shared" ref="J42:J58" si="17">(K42*8%)+K42</f>
        <v>0</v>
      </c>
      <c r="K42" s="739"/>
      <c r="L42" s="156">
        <f t="shared" ref="L42:L43" si="18">K42/2000</f>
        <v>0</v>
      </c>
      <c r="M42" s="100">
        <f>(I42*K42)</f>
        <v>0</v>
      </c>
    </row>
    <row r="43" spans="1:13">
      <c r="A43" s="53">
        <v>31</v>
      </c>
      <c r="B43" s="112"/>
      <c r="C43" s="134" t="s">
        <v>1907</v>
      </c>
      <c r="D43" s="227" t="s">
        <v>1905</v>
      </c>
      <c r="E43" s="664"/>
      <c r="F43" s="653"/>
      <c r="G43" s="79" t="s">
        <v>1908</v>
      </c>
      <c r="H43" s="80"/>
      <c r="I43" s="81">
        <v>2</v>
      </c>
      <c r="J43" s="127">
        <f t="shared" si="17"/>
        <v>0</v>
      </c>
      <c r="K43" s="740"/>
      <c r="L43" s="158">
        <f t="shared" si="18"/>
        <v>0</v>
      </c>
      <c r="M43" s="84">
        <f>K43*I43</f>
        <v>0</v>
      </c>
    </row>
    <row r="44" spans="1:13">
      <c r="A44" s="53">
        <v>32</v>
      </c>
      <c r="B44" s="85" t="s">
        <v>1909</v>
      </c>
      <c r="C44" s="86" t="s">
        <v>1910</v>
      </c>
      <c r="D44" s="87" t="s">
        <v>1905</v>
      </c>
      <c r="E44" s="654"/>
      <c r="F44" s="655"/>
      <c r="G44" s="88" t="s">
        <v>1911</v>
      </c>
      <c r="H44" s="89" t="s">
        <v>1912</v>
      </c>
      <c r="I44" s="90">
        <v>6</v>
      </c>
      <c r="J44" s="127">
        <f t="shared" si="17"/>
        <v>0</v>
      </c>
      <c r="K44" s="770"/>
      <c r="L44" s="161">
        <f>K44/1000</f>
        <v>0</v>
      </c>
      <c r="M44" s="93">
        <f t="shared" ref="M44:M45" si="19">I44*K44</f>
        <v>0</v>
      </c>
    </row>
    <row r="45" spans="1:13">
      <c r="A45" s="53">
        <v>33</v>
      </c>
      <c r="B45" s="270" t="s">
        <v>1913</v>
      </c>
      <c r="C45" s="131" t="s">
        <v>1914</v>
      </c>
      <c r="D45" s="109" t="s">
        <v>1915</v>
      </c>
      <c r="E45" s="665"/>
      <c r="F45" s="657"/>
      <c r="G45" s="96" t="s">
        <v>1916</v>
      </c>
      <c r="H45" s="97" t="s">
        <v>142</v>
      </c>
      <c r="I45" s="98">
        <v>6</v>
      </c>
      <c r="J45" s="91">
        <f t="shared" si="17"/>
        <v>0</v>
      </c>
      <c r="K45" s="739"/>
      <c r="L45" s="156">
        <f>K45/5304</f>
        <v>0</v>
      </c>
      <c r="M45" s="133">
        <f t="shared" si="19"/>
        <v>0</v>
      </c>
    </row>
    <row r="46" spans="1:13">
      <c r="B46" s="332"/>
      <c r="C46" s="157" t="s">
        <v>1917</v>
      </c>
      <c r="D46" s="126"/>
      <c r="E46" s="664"/>
      <c r="F46" s="653"/>
      <c r="G46" s="79" t="s">
        <v>573</v>
      </c>
      <c r="H46" s="80"/>
      <c r="I46" s="81"/>
      <c r="J46" s="127">
        <f t="shared" si="17"/>
        <v>0</v>
      </c>
      <c r="K46" s="740"/>
      <c r="L46" s="158"/>
      <c r="M46" s="293"/>
    </row>
    <row r="47" spans="1:13">
      <c r="A47" s="53">
        <v>34</v>
      </c>
      <c r="B47" s="270" t="s">
        <v>1918</v>
      </c>
      <c r="C47" s="331" t="s">
        <v>1919</v>
      </c>
      <c r="D47" s="109" t="s">
        <v>1920</v>
      </c>
      <c r="E47" s="665"/>
      <c r="F47" s="657"/>
      <c r="G47" s="96" t="s">
        <v>1921</v>
      </c>
      <c r="H47" s="97" t="s">
        <v>142</v>
      </c>
      <c r="I47" s="98">
        <v>4</v>
      </c>
      <c r="J47" s="91">
        <f t="shared" si="17"/>
        <v>0</v>
      </c>
      <c r="K47" s="739"/>
      <c r="L47" s="156">
        <f>K47/6000</f>
        <v>0</v>
      </c>
      <c r="M47" s="100">
        <f>I47*K47</f>
        <v>0</v>
      </c>
    </row>
    <row r="48" spans="1:13">
      <c r="B48" s="332"/>
      <c r="C48" s="134" t="s">
        <v>1922</v>
      </c>
      <c r="D48" s="126"/>
      <c r="E48" s="664"/>
      <c r="F48" s="653"/>
      <c r="G48" s="79"/>
      <c r="H48" s="80"/>
      <c r="I48" s="81"/>
      <c r="J48" s="127">
        <f t="shared" si="17"/>
        <v>0</v>
      </c>
      <c r="K48" s="740"/>
      <c r="L48" s="158"/>
      <c r="M48" s="531"/>
    </row>
    <row r="49" spans="1:13">
      <c r="A49" s="53">
        <v>35</v>
      </c>
      <c r="B49" s="76" t="s">
        <v>1923</v>
      </c>
      <c r="C49" s="131" t="s">
        <v>1924</v>
      </c>
      <c r="D49" s="109" t="s">
        <v>1925</v>
      </c>
      <c r="E49" s="665"/>
      <c r="F49" s="657"/>
      <c r="G49" s="96" t="s">
        <v>1926</v>
      </c>
      <c r="H49" s="97" t="s">
        <v>142</v>
      </c>
      <c r="I49" s="98">
        <v>5</v>
      </c>
      <c r="J49" s="91">
        <f t="shared" si="17"/>
        <v>0</v>
      </c>
      <c r="K49" s="739"/>
      <c r="L49" s="156">
        <f>K49/1000</f>
        <v>0</v>
      </c>
      <c r="M49" s="100">
        <f>I49*K49</f>
        <v>0</v>
      </c>
    </row>
    <row r="50" spans="1:13">
      <c r="B50" s="112"/>
      <c r="C50" s="157"/>
      <c r="D50" s="126"/>
      <c r="E50" s="664"/>
      <c r="F50" s="653"/>
      <c r="G50" s="79"/>
      <c r="H50" s="80"/>
      <c r="I50" s="81"/>
      <c r="J50" s="127">
        <f t="shared" si="17"/>
        <v>0</v>
      </c>
      <c r="K50" s="740"/>
      <c r="L50" s="158"/>
      <c r="M50" s="293"/>
    </row>
    <row r="51" spans="1:13">
      <c r="A51" s="53">
        <v>36</v>
      </c>
      <c r="B51" s="76" t="s">
        <v>1927</v>
      </c>
      <c r="C51" s="131" t="s">
        <v>1928</v>
      </c>
      <c r="D51" s="302"/>
      <c r="E51" s="665"/>
      <c r="F51" s="657"/>
      <c r="G51" s="96" t="s">
        <v>230</v>
      </c>
      <c r="H51" s="97" t="s">
        <v>142</v>
      </c>
      <c r="I51" s="98">
        <v>7</v>
      </c>
      <c r="J51" s="91">
        <f t="shared" si="17"/>
        <v>0</v>
      </c>
      <c r="K51" s="739"/>
      <c r="L51" s="156">
        <f>K51/1000</f>
        <v>0</v>
      </c>
      <c r="M51" s="100">
        <f>I51*K51</f>
        <v>0</v>
      </c>
    </row>
    <row r="52" spans="1:13">
      <c r="B52" s="112"/>
      <c r="C52" s="157"/>
      <c r="D52" s="78" t="s">
        <v>1925</v>
      </c>
      <c r="E52" s="664"/>
      <c r="F52" s="653"/>
      <c r="G52" s="79" t="s">
        <v>1929</v>
      </c>
      <c r="H52" s="80"/>
      <c r="I52" s="81"/>
      <c r="J52" s="127">
        <f t="shared" si="17"/>
        <v>0</v>
      </c>
      <c r="K52" s="740"/>
      <c r="L52" s="158"/>
      <c r="M52" s="115"/>
    </row>
    <row r="53" spans="1:13">
      <c r="A53" s="53">
        <v>37</v>
      </c>
      <c r="B53" s="76" t="s">
        <v>1930</v>
      </c>
      <c r="C53" s="131" t="s">
        <v>1931</v>
      </c>
      <c r="D53" s="302"/>
      <c r="E53" s="665"/>
      <c r="F53" s="657"/>
      <c r="G53" s="96" t="s">
        <v>230</v>
      </c>
      <c r="H53" s="97" t="s">
        <v>142</v>
      </c>
      <c r="I53" s="98">
        <v>290</v>
      </c>
      <c r="J53" s="91">
        <f t="shared" si="17"/>
        <v>0</v>
      </c>
      <c r="K53" s="739"/>
      <c r="L53" s="156">
        <f>K53/1000</f>
        <v>0</v>
      </c>
      <c r="M53" s="100">
        <f>I53*K53</f>
        <v>0</v>
      </c>
    </row>
    <row r="54" spans="1:13">
      <c r="B54" s="116"/>
      <c r="C54" s="136"/>
      <c r="D54" s="118" t="s">
        <v>1925</v>
      </c>
      <c r="E54" s="667"/>
      <c r="F54" s="662"/>
      <c r="G54" s="119" t="s">
        <v>1932</v>
      </c>
      <c r="H54" s="120"/>
      <c r="I54" s="121"/>
      <c r="J54" s="106">
        <f t="shared" si="17"/>
        <v>0</v>
      </c>
      <c r="K54" s="738"/>
      <c r="L54" s="301"/>
      <c r="M54" s="123"/>
    </row>
    <row r="55" spans="1:13">
      <c r="A55" s="53">
        <v>38</v>
      </c>
      <c r="B55" s="76" t="s">
        <v>1933</v>
      </c>
      <c r="C55" s="131" t="s">
        <v>1934</v>
      </c>
      <c r="D55" s="109" t="s">
        <v>1925</v>
      </c>
      <c r="E55" s="660"/>
      <c r="F55" s="657"/>
      <c r="G55" s="96" t="s">
        <v>1935</v>
      </c>
      <c r="H55" s="97" t="s">
        <v>142</v>
      </c>
      <c r="I55" s="98">
        <v>10</v>
      </c>
      <c r="J55" s="106">
        <f t="shared" si="17"/>
        <v>0</v>
      </c>
      <c r="K55" s="732"/>
      <c r="L55" s="169">
        <f>K55/1000</f>
        <v>0</v>
      </c>
      <c r="M55" s="100">
        <f>K55*L55</f>
        <v>0</v>
      </c>
    </row>
    <row r="56" spans="1:13">
      <c r="B56" s="112"/>
      <c r="C56" s="157"/>
      <c r="D56" s="126"/>
      <c r="E56" s="652"/>
      <c r="F56" s="799"/>
      <c r="G56" s="532"/>
      <c r="H56" s="80"/>
      <c r="I56" s="81"/>
      <c r="J56" s="114">
        <f t="shared" si="17"/>
        <v>0</v>
      </c>
      <c r="K56" s="734"/>
      <c r="L56" s="178"/>
      <c r="M56" s="115"/>
    </row>
    <row r="57" spans="1:13">
      <c r="A57" s="53">
        <v>39</v>
      </c>
      <c r="B57" s="112" t="s">
        <v>1936</v>
      </c>
      <c r="C57" s="77" t="s">
        <v>1937</v>
      </c>
      <c r="D57" s="78" t="s">
        <v>232</v>
      </c>
      <c r="E57" s="652"/>
      <c r="F57" s="653"/>
      <c r="G57" s="79" t="s">
        <v>1938</v>
      </c>
      <c r="H57" s="80" t="s">
        <v>142</v>
      </c>
      <c r="I57" s="81">
        <v>5</v>
      </c>
      <c r="J57" s="114">
        <f t="shared" si="17"/>
        <v>0</v>
      </c>
      <c r="K57" s="740"/>
      <c r="L57" s="178">
        <f t="shared" ref="L57:L58" si="20">K57/100</f>
        <v>0</v>
      </c>
      <c r="M57" s="115">
        <f>I57*K57</f>
        <v>0</v>
      </c>
    </row>
    <row r="58" spans="1:13">
      <c r="A58" s="53">
        <v>40</v>
      </c>
      <c r="B58" s="76" t="s">
        <v>1939</v>
      </c>
      <c r="C58" s="327" t="s">
        <v>1940</v>
      </c>
      <c r="D58" s="109" t="s">
        <v>232</v>
      </c>
      <c r="E58" s="800"/>
      <c r="F58" s="657"/>
      <c r="G58" s="96" t="s">
        <v>1941</v>
      </c>
      <c r="H58" s="97" t="s">
        <v>142</v>
      </c>
      <c r="I58" s="98">
        <v>200</v>
      </c>
      <c r="J58" s="106">
        <f t="shared" si="17"/>
        <v>0</v>
      </c>
      <c r="K58" s="733"/>
      <c r="L58" s="169">
        <f t="shared" si="20"/>
        <v>0</v>
      </c>
      <c r="M58" s="100">
        <f>K58*I58</f>
        <v>0</v>
      </c>
    </row>
    <row r="59" spans="1:13">
      <c r="A59" s="53">
        <v>41</v>
      </c>
      <c r="B59" s="253" t="s">
        <v>1939</v>
      </c>
      <c r="C59" s="117" t="s">
        <v>1942</v>
      </c>
      <c r="D59" s="118" t="s">
        <v>232</v>
      </c>
      <c r="E59" s="801"/>
      <c r="F59" s="662"/>
      <c r="G59" s="199" t="s">
        <v>1941</v>
      </c>
      <c r="H59" s="389" t="s">
        <v>142</v>
      </c>
      <c r="I59" s="257">
        <v>200</v>
      </c>
      <c r="J59" s="140"/>
      <c r="K59" s="733"/>
      <c r="L59" s="200">
        <f>K59/100</f>
        <v>0</v>
      </c>
      <c r="M59" s="123">
        <f t="shared" ref="M59:M61" si="21">I59*K59</f>
        <v>0</v>
      </c>
    </row>
    <row r="60" spans="1:13">
      <c r="A60" s="53">
        <v>42</v>
      </c>
      <c r="B60" s="427" t="s">
        <v>1943</v>
      </c>
      <c r="C60" s="395" t="s">
        <v>1944</v>
      </c>
      <c r="D60" s="87" t="s">
        <v>1945</v>
      </c>
      <c r="E60" s="654"/>
      <c r="F60" s="759"/>
      <c r="G60" s="88" t="s">
        <v>1946</v>
      </c>
      <c r="H60" s="89" t="s">
        <v>142</v>
      </c>
      <c r="I60" s="98">
        <v>14</v>
      </c>
      <c r="J60" s="91">
        <f t="shared" ref="J60:J61" si="22">(K60*8%)+K60</f>
        <v>0</v>
      </c>
      <c r="K60" s="674"/>
      <c r="L60" s="156">
        <f>K60/8</f>
        <v>0</v>
      </c>
      <c r="M60" s="291">
        <f t="shared" si="21"/>
        <v>0</v>
      </c>
    </row>
    <row r="61" spans="1:13">
      <c r="A61" s="53">
        <v>43</v>
      </c>
      <c r="B61" s="253" t="s">
        <v>1947</v>
      </c>
      <c r="C61" s="305" t="s">
        <v>1948</v>
      </c>
      <c r="D61" s="118" t="s">
        <v>1949</v>
      </c>
      <c r="E61" s="661"/>
      <c r="F61" s="719"/>
      <c r="G61" s="96" t="s">
        <v>1950</v>
      </c>
      <c r="H61" s="97" t="s">
        <v>142</v>
      </c>
      <c r="I61" s="98">
        <v>5</v>
      </c>
      <c r="J61" s="91">
        <f t="shared" si="22"/>
        <v>0</v>
      </c>
      <c r="K61" s="674"/>
      <c r="L61" s="156">
        <f>K61/576</f>
        <v>0</v>
      </c>
      <c r="M61" s="291">
        <f t="shared" si="21"/>
        <v>0</v>
      </c>
    </row>
    <row r="62" spans="1:13">
      <c r="B62" s="112"/>
      <c r="C62" s="125" t="s">
        <v>1951</v>
      </c>
      <c r="D62" s="533"/>
      <c r="E62" s="802"/>
      <c r="F62" s="726"/>
      <c r="G62" s="79"/>
      <c r="H62" s="80"/>
      <c r="I62" s="81"/>
      <c r="J62" s="91"/>
      <c r="K62" s="679"/>
      <c r="L62" s="158"/>
      <c r="M62" s="393"/>
    </row>
    <row r="63" spans="1:13">
      <c r="A63" s="53">
        <v>44</v>
      </c>
      <c r="B63" s="241" t="s">
        <v>1952</v>
      </c>
      <c r="C63" s="131" t="s">
        <v>1953</v>
      </c>
      <c r="D63" s="109" t="s">
        <v>1954</v>
      </c>
      <c r="E63" s="665"/>
      <c r="F63" s="718"/>
      <c r="G63" s="96" t="s">
        <v>1955</v>
      </c>
      <c r="H63" s="97" t="s">
        <v>142</v>
      </c>
      <c r="I63" s="98">
        <v>6</v>
      </c>
      <c r="J63" s="91">
        <f t="shared" ref="J63:J64" si="23">(K63*8%)+K63</f>
        <v>0</v>
      </c>
      <c r="K63" s="674"/>
      <c r="L63" s="156">
        <f>K63/400</f>
        <v>0</v>
      </c>
      <c r="M63" s="291">
        <f>I63*K63</f>
        <v>0</v>
      </c>
    </row>
    <row r="64" spans="1:13">
      <c r="B64" s="116"/>
      <c r="C64" s="136"/>
      <c r="D64" s="130"/>
      <c r="E64" s="663"/>
      <c r="F64" s="719"/>
      <c r="G64" s="119"/>
      <c r="H64" s="120"/>
      <c r="I64" s="121"/>
      <c r="J64" s="91">
        <f t="shared" si="23"/>
        <v>0</v>
      </c>
      <c r="K64" s="678"/>
      <c r="L64" s="159" t="s">
        <v>254</v>
      </c>
      <c r="M64" s="295"/>
    </row>
    <row r="65" spans="1:27">
      <c r="A65" s="53">
        <v>45</v>
      </c>
      <c r="B65" s="427" t="s">
        <v>1956</v>
      </c>
      <c r="C65" s="505" t="s">
        <v>1957</v>
      </c>
      <c r="D65" s="87" t="s">
        <v>1568</v>
      </c>
      <c r="E65" s="654"/>
      <c r="F65" s="759"/>
      <c r="G65" s="88" t="s">
        <v>1958</v>
      </c>
      <c r="H65" s="89" t="s">
        <v>142</v>
      </c>
      <c r="I65" s="90">
        <v>2</v>
      </c>
      <c r="J65" s="127"/>
      <c r="K65" s="672"/>
      <c r="L65" s="161">
        <f>K65</f>
        <v>0</v>
      </c>
      <c r="M65" s="534">
        <f t="shared" ref="M65:M66" si="24">K65*I65</f>
        <v>0</v>
      </c>
    </row>
    <row r="66" spans="1:27">
      <c r="A66" s="53">
        <v>46</v>
      </c>
      <c r="B66" s="253" t="s">
        <v>1959</v>
      </c>
      <c r="C66" s="117" t="s">
        <v>1960</v>
      </c>
      <c r="D66" s="118" t="s">
        <v>1568</v>
      </c>
      <c r="E66" s="667"/>
      <c r="F66" s="719"/>
      <c r="G66" s="119" t="s">
        <v>1961</v>
      </c>
      <c r="H66" s="120" t="s">
        <v>142</v>
      </c>
      <c r="I66" s="121">
        <v>12</v>
      </c>
      <c r="J66" s="527">
        <f>(K66*8%)+K66</f>
        <v>0</v>
      </c>
      <c r="K66" s="680"/>
      <c r="L66" s="301">
        <f>K66/4</f>
        <v>0</v>
      </c>
      <c r="M66" s="295">
        <f t="shared" si="24"/>
        <v>0</v>
      </c>
    </row>
    <row r="67" spans="1:27">
      <c r="A67" s="535">
        <v>47</v>
      </c>
      <c r="B67" s="536" t="s">
        <v>1962</v>
      </c>
      <c r="C67" s="537" t="s">
        <v>1963</v>
      </c>
      <c r="D67" s="536" t="s">
        <v>1905</v>
      </c>
      <c r="E67" s="803"/>
      <c r="F67" s="803"/>
      <c r="G67" s="151" t="s">
        <v>1964</v>
      </c>
      <c r="H67" s="538" t="s">
        <v>142</v>
      </c>
      <c r="I67" s="539">
        <v>10</v>
      </c>
      <c r="J67" s="540"/>
      <c r="K67" s="804"/>
      <c r="L67" s="541">
        <f>K67</f>
        <v>0</v>
      </c>
      <c r="M67" s="541">
        <f>L67*I67</f>
        <v>0</v>
      </c>
      <c r="N67" s="542"/>
      <c r="O67" s="542"/>
      <c r="P67" s="542"/>
      <c r="Q67" s="542"/>
      <c r="R67" s="542"/>
      <c r="S67" s="542"/>
      <c r="T67" s="542"/>
      <c r="U67" s="542"/>
      <c r="V67" s="542"/>
      <c r="W67" s="542"/>
      <c r="X67" s="542"/>
      <c r="Y67" s="542"/>
      <c r="Z67" s="542"/>
      <c r="AA67" s="542"/>
    </row>
    <row r="68" spans="1:27">
      <c r="B68" s="957" t="s">
        <v>1965</v>
      </c>
      <c r="C68" s="958"/>
      <c r="D68" s="958"/>
      <c r="E68" s="958"/>
      <c r="F68" s="958"/>
      <c r="G68" s="958"/>
      <c r="H68" s="958"/>
      <c r="I68" s="959"/>
      <c r="J68" s="543"/>
      <c r="K68" s="960">
        <f>SUM(M3:M67)</f>
        <v>0</v>
      </c>
      <c r="L68" s="958"/>
      <c r="M68" s="961"/>
    </row>
    <row r="69" spans="1:27">
      <c r="I69" s="544"/>
    </row>
    <row r="70" spans="1:27">
      <c r="I70" s="544"/>
    </row>
    <row r="71" spans="1:27">
      <c r="I71" s="544"/>
    </row>
    <row r="72" spans="1:27">
      <c r="I72" s="544"/>
    </row>
    <row r="73" spans="1:27">
      <c r="I73" s="544"/>
    </row>
    <row r="74" spans="1:27">
      <c r="I74" s="544"/>
    </row>
    <row r="75" spans="1:27">
      <c r="I75" s="544"/>
    </row>
    <row r="76" spans="1:27">
      <c r="I76" s="544"/>
    </row>
    <row r="77" spans="1:27">
      <c r="I77" s="544"/>
    </row>
    <row r="78" spans="1:27">
      <c r="I78" s="544"/>
    </row>
    <row r="79" spans="1:27">
      <c r="I79" s="544"/>
    </row>
    <row r="80" spans="1:27">
      <c r="I80" s="544"/>
    </row>
    <row r="81" spans="9:9">
      <c r="I81" s="544"/>
    </row>
    <row r="82" spans="9:9">
      <c r="I82" s="544"/>
    </row>
    <row r="83" spans="9:9">
      <c r="I83" s="544"/>
    </row>
    <row r="84" spans="9:9">
      <c r="I84" s="544"/>
    </row>
    <row r="85" spans="9:9">
      <c r="I85" s="544"/>
    </row>
    <row r="86" spans="9:9">
      <c r="I86" s="544"/>
    </row>
    <row r="87" spans="9:9">
      <c r="I87" s="544"/>
    </row>
    <row r="88" spans="9:9">
      <c r="I88" s="544"/>
    </row>
    <row r="89" spans="9:9">
      <c r="I89" s="544"/>
    </row>
    <row r="90" spans="9:9">
      <c r="I90" s="544"/>
    </row>
    <row r="91" spans="9:9">
      <c r="I91" s="544"/>
    </row>
    <row r="92" spans="9:9">
      <c r="I92" s="544"/>
    </row>
    <row r="93" spans="9:9">
      <c r="I93" s="544"/>
    </row>
    <row r="94" spans="9:9">
      <c r="I94" s="544"/>
    </row>
    <row r="95" spans="9:9">
      <c r="I95" s="544"/>
    </row>
    <row r="96" spans="9:9">
      <c r="I96" s="544"/>
    </row>
    <row r="97" spans="9:9">
      <c r="I97" s="544"/>
    </row>
    <row r="98" spans="9:9">
      <c r="I98" s="544"/>
    </row>
    <row r="99" spans="9:9">
      <c r="I99" s="544"/>
    </row>
    <row r="100" spans="9:9">
      <c r="I100" s="544"/>
    </row>
    <row r="101" spans="9:9">
      <c r="I101" s="544"/>
    </row>
    <row r="102" spans="9:9">
      <c r="I102" s="544"/>
    </row>
    <row r="103" spans="9:9">
      <c r="I103" s="544"/>
    </row>
    <row r="104" spans="9:9">
      <c r="I104" s="544"/>
    </row>
    <row r="105" spans="9:9">
      <c r="I105" s="544"/>
    </row>
    <row r="106" spans="9:9">
      <c r="I106" s="544"/>
    </row>
    <row r="107" spans="9:9">
      <c r="I107" s="544"/>
    </row>
    <row r="108" spans="9:9">
      <c r="I108" s="544"/>
    </row>
    <row r="109" spans="9:9">
      <c r="I109" s="544"/>
    </row>
    <row r="110" spans="9:9">
      <c r="I110" s="544"/>
    </row>
    <row r="111" spans="9:9">
      <c r="I111" s="544"/>
    </row>
    <row r="112" spans="9:9">
      <c r="I112" s="544"/>
    </row>
    <row r="113" spans="9:9">
      <c r="I113" s="544"/>
    </row>
    <row r="114" spans="9:9">
      <c r="I114" s="544"/>
    </row>
    <row r="115" spans="9:9">
      <c r="I115" s="544"/>
    </row>
    <row r="116" spans="9:9">
      <c r="I116" s="544"/>
    </row>
    <row r="117" spans="9:9">
      <c r="I117" s="544"/>
    </row>
    <row r="118" spans="9:9">
      <c r="I118" s="544"/>
    </row>
    <row r="119" spans="9:9">
      <c r="I119" s="544"/>
    </row>
    <row r="120" spans="9:9">
      <c r="I120" s="544"/>
    </row>
    <row r="121" spans="9:9">
      <c r="I121" s="544"/>
    </row>
    <row r="122" spans="9:9">
      <c r="I122" s="544"/>
    </row>
    <row r="123" spans="9:9">
      <c r="I123" s="544"/>
    </row>
    <row r="124" spans="9:9">
      <c r="I124" s="544"/>
    </row>
    <row r="125" spans="9:9">
      <c r="I125" s="544"/>
    </row>
    <row r="126" spans="9:9">
      <c r="I126" s="544"/>
    </row>
    <row r="127" spans="9:9">
      <c r="I127" s="544"/>
    </row>
    <row r="128" spans="9:9">
      <c r="I128" s="544"/>
    </row>
    <row r="129" spans="9:9">
      <c r="I129" s="544"/>
    </row>
    <row r="130" spans="9:9">
      <c r="I130" s="544"/>
    </row>
    <row r="131" spans="9:9">
      <c r="I131" s="544"/>
    </row>
    <row r="132" spans="9:9">
      <c r="I132" s="544"/>
    </row>
    <row r="133" spans="9:9">
      <c r="I133" s="544"/>
    </row>
    <row r="134" spans="9:9">
      <c r="I134" s="544"/>
    </row>
    <row r="135" spans="9:9">
      <c r="I135" s="544"/>
    </row>
    <row r="136" spans="9:9">
      <c r="I136" s="544"/>
    </row>
    <row r="137" spans="9:9">
      <c r="I137" s="544"/>
    </row>
    <row r="138" spans="9:9">
      <c r="I138" s="544"/>
    </row>
    <row r="139" spans="9:9">
      <c r="I139" s="544"/>
    </row>
    <row r="140" spans="9:9">
      <c r="I140" s="544"/>
    </row>
    <row r="141" spans="9:9">
      <c r="I141" s="544"/>
    </row>
    <row r="142" spans="9:9">
      <c r="I142" s="544"/>
    </row>
    <row r="143" spans="9:9">
      <c r="I143" s="544"/>
    </row>
    <row r="144" spans="9:9">
      <c r="I144" s="544"/>
    </row>
    <row r="145" spans="9:9">
      <c r="I145" s="544"/>
    </row>
    <row r="146" spans="9:9">
      <c r="I146" s="544"/>
    </row>
    <row r="147" spans="9:9">
      <c r="I147" s="544"/>
    </row>
    <row r="148" spans="9:9">
      <c r="I148" s="544"/>
    </row>
    <row r="149" spans="9:9">
      <c r="I149" s="544"/>
    </row>
    <row r="150" spans="9:9">
      <c r="I150" s="544"/>
    </row>
    <row r="151" spans="9:9">
      <c r="I151" s="544"/>
    </row>
    <row r="152" spans="9:9">
      <c r="I152" s="544"/>
    </row>
    <row r="153" spans="9:9">
      <c r="I153" s="544"/>
    </row>
    <row r="154" spans="9:9">
      <c r="I154" s="544"/>
    </row>
    <row r="155" spans="9:9">
      <c r="I155" s="544"/>
    </row>
    <row r="156" spans="9:9">
      <c r="I156" s="544"/>
    </row>
    <row r="157" spans="9:9">
      <c r="I157" s="544"/>
    </row>
    <row r="158" spans="9:9">
      <c r="I158" s="544"/>
    </row>
    <row r="159" spans="9:9">
      <c r="I159" s="544"/>
    </row>
    <row r="160" spans="9:9">
      <c r="I160" s="544"/>
    </row>
    <row r="161" spans="9:9">
      <c r="I161" s="544"/>
    </row>
    <row r="162" spans="9:9">
      <c r="I162" s="544"/>
    </row>
    <row r="163" spans="9:9">
      <c r="I163" s="544"/>
    </row>
    <row r="164" spans="9:9">
      <c r="I164" s="544"/>
    </row>
    <row r="165" spans="9:9">
      <c r="I165" s="544"/>
    </row>
    <row r="166" spans="9:9">
      <c r="I166" s="544"/>
    </row>
    <row r="167" spans="9:9">
      <c r="I167" s="544"/>
    </row>
    <row r="168" spans="9:9">
      <c r="I168" s="544"/>
    </row>
    <row r="169" spans="9:9">
      <c r="I169" s="544"/>
    </row>
    <row r="170" spans="9:9">
      <c r="I170" s="544"/>
    </row>
    <row r="171" spans="9:9">
      <c r="I171" s="544"/>
    </row>
    <row r="172" spans="9:9">
      <c r="I172" s="544"/>
    </row>
    <row r="173" spans="9:9">
      <c r="I173" s="544"/>
    </row>
    <row r="174" spans="9:9">
      <c r="I174" s="544"/>
    </row>
    <row r="175" spans="9:9">
      <c r="I175" s="544"/>
    </row>
    <row r="176" spans="9:9">
      <c r="I176" s="544"/>
    </row>
    <row r="177" spans="9:9">
      <c r="I177" s="544"/>
    </row>
    <row r="178" spans="9:9">
      <c r="I178" s="544"/>
    </row>
    <row r="179" spans="9:9">
      <c r="I179" s="544"/>
    </row>
    <row r="180" spans="9:9">
      <c r="I180" s="544"/>
    </row>
    <row r="181" spans="9:9">
      <c r="I181" s="544"/>
    </row>
    <row r="182" spans="9:9">
      <c r="I182" s="544"/>
    </row>
    <row r="183" spans="9:9">
      <c r="I183" s="544"/>
    </row>
    <row r="184" spans="9:9">
      <c r="I184" s="544"/>
    </row>
    <row r="185" spans="9:9">
      <c r="I185" s="544"/>
    </row>
    <row r="186" spans="9:9">
      <c r="I186" s="544"/>
    </row>
    <row r="187" spans="9:9">
      <c r="I187" s="544"/>
    </row>
    <row r="188" spans="9:9">
      <c r="I188" s="544"/>
    </row>
    <row r="189" spans="9:9">
      <c r="I189" s="544"/>
    </row>
    <row r="190" spans="9:9">
      <c r="I190" s="544"/>
    </row>
    <row r="191" spans="9:9">
      <c r="I191" s="544"/>
    </row>
    <row r="192" spans="9:9">
      <c r="I192" s="544"/>
    </row>
    <row r="193" spans="9:9">
      <c r="I193" s="544"/>
    </row>
    <row r="194" spans="9:9">
      <c r="I194" s="544"/>
    </row>
    <row r="195" spans="9:9">
      <c r="I195" s="544"/>
    </row>
    <row r="196" spans="9:9">
      <c r="I196" s="544"/>
    </row>
    <row r="197" spans="9:9">
      <c r="I197" s="544"/>
    </row>
    <row r="198" spans="9:9">
      <c r="I198" s="544"/>
    </row>
    <row r="199" spans="9:9">
      <c r="I199" s="544"/>
    </row>
    <row r="200" spans="9:9">
      <c r="I200" s="544"/>
    </row>
    <row r="201" spans="9:9">
      <c r="I201" s="544"/>
    </row>
    <row r="202" spans="9:9">
      <c r="I202" s="544"/>
    </row>
    <row r="203" spans="9:9">
      <c r="I203" s="544"/>
    </row>
    <row r="204" spans="9:9">
      <c r="I204" s="544"/>
    </row>
    <row r="205" spans="9:9">
      <c r="I205" s="544"/>
    </row>
    <row r="206" spans="9:9">
      <c r="I206" s="544"/>
    </row>
    <row r="207" spans="9:9">
      <c r="I207" s="544"/>
    </row>
    <row r="208" spans="9:9">
      <c r="I208" s="544"/>
    </row>
    <row r="209" spans="9:9">
      <c r="I209" s="544"/>
    </row>
    <row r="210" spans="9:9">
      <c r="I210" s="544"/>
    </row>
    <row r="211" spans="9:9">
      <c r="I211" s="544"/>
    </row>
    <row r="212" spans="9:9">
      <c r="I212" s="544"/>
    </row>
    <row r="213" spans="9:9">
      <c r="I213" s="544"/>
    </row>
    <row r="214" spans="9:9">
      <c r="I214" s="544"/>
    </row>
    <row r="215" spans="9:9">
      <c r="I215" s="544"/>
    </row>
    <row r="216" spans="9:9">
      <c r="I216" s="544"/>
    </row>
    <row r="217" spans="9:9">
      <c r="I217" s="544"/>
    </row>
    <row r="218" spans="9:9">
      <c r="I218" s="544"/>
    </row>
    <row r="219" spans="9:9">
      <c r="I219" s="544"/>
    </row>
    <row r="220" spans="9:9">
      <c r="I220" s="544"/>
    </row>
    <row r="221" spans="9:9">
      <c r="I221" s="544"/>
    </row>
    <row r="222" spans="9:9">
      <c r="I222" s="544"/>
    </row>
    <row r="223" spans="9:9">
      <c r="I223" s="544"/>
    </row>
    <row r="224" spans="9:9">
      <c r="I224" s="544"/>
    </row>
    <row r="225" spans="9:9">
      <c r="I225" s="544"/>
    </row>
    <row r="226" spans="9:9">
      <c r="I226" s="544"/>
    </row>
    <row r="227" spans="9:9">
      <c r="I227" s="544"/>
    </row>
    <row r="228" spans="9:9">
      <c r="I228" s="544"/>
    </row>
    <row r="229" spans="9:9">
      <c r="I229" s="544"/>
    </row>
    <row r="230" spans="9:9">
      <c r="I230" s="544"/>
    </row>
    <row r="231" spans="9:9">
      <c r="I231" s="544"/>
    </row>
    <row r="232" spans="9:9">
      <c r="I232" s="544"/>
    </row>
    <row r="233" spans="9:9">
      <c r="I233" s="544"/>
    </row>
    <row r="234" spans="9:9">
      <c r="I234" s="544"/>
    </row>
    <row r="235" spans="9:9">
      <c r="I235" s="544"/>
    </row>
    <row r="236" spans="9:9">
      <c r="I236" s="544"/>
    </row>
    <row r="237" spans="9:9">
      <c r="I237" s="544"/>
    </row>
    <row r="238" spans="9:9">
      <c r="I238" s="544"/>
    </row>
    <row r="239" spans="9:9">
      <c r="I239" s="544"/>
    </row>
    <row r="240" spans="9:9">
      <c r="I240" s="544"/>
    </row>
    <row r="241" spans="9:9">
      <c r="I241" s="544"/>
    </row>
    <row r="242" spans="9:9">
      <c r="I242" s="544"/>
    </row>
    <row r="243" spans="9:9">
      <c r="I243" s="544"/>
    </row>
    <row r="244" spans="9:9">
      <c r="I244" s="544"/>
    </row>
    <row r="245" spans="9:9">
      <c r="I245" s="544"/>
    </row>
    <row r="246" spans="9:9">
      <c r="I246" s="544"/>
    </row>
    <row r="247" spans="9:9">
      <c r="I247" s="544"/>
    </row>
    <row r="248" spans="9:9">
      <c r="I248" s="544"/>
    </row>
    <row r="249" spans="9:9">
      <c r="I249" s="544"/>
    </row>
    <row r="250" spans="9:9">
      <c r="I250" s="544"/>
    </row>
    <row r="251" spans="9:9">
      <c r="I251" s="544"/>
    </row>
    <row r="252" spans="9:9">
      <c r="I252" s="544"/>
    </row>
    <row r="253" spans="9:9">
      <c r="I253" s="544"/>
    </row>
    <row r="254" spans="9:9">
      <c r="I254" s="544"/>
    </row>
    <row r="255" spans="9:9">
      <c r="I255" s="544"/>
    </row>
    <row r="256" spans="9:9">
      <c r="I256" s="544"/>
    </row>
    <row r="257" spans="9:9">
      <c r="I257" s="544"/>
    </row>
    <row r="258" spans="9:9">
      <c r="I258" s="544"/>
    </row>
    <row r="259" spans="9:9">
      <c r="I259" s="544"/>
    </row>
    <row r="260" spans="9:9">
      <c r="I260" s="544"/>
    </row>
    <row r="261" spans="9:9">
      <c r="I261" s="544"/>
    </row>
    <row r="262" spans="9:9">
      <c r="I262" s="544"/>
    </row>
    <row r="263" spans="9:9">
      <c r="I263" s="544"/>
    </row>
    <row r="264" spans="9:9">
      <c r="I264" s="544"/>
    </row>
    <row r="265" spans="9:9">
      <c r="I265" s="544"/>
    </row>
    <row r="266" spans="9:9">
      <c r="I266" s="544"/>
    </row>
    <row r="267" spans="9:9">
      <c r="I267" s="544"/>
    </row>
    <row r="268" spans="9:9">
      <c r="I268" s="544"/>
    </row>
    <row r="269" spans="9:9">
      <c r="I269" s="544"/>
    </row>
    <row r="270" spans="9:9">
      <c r="I270" s="544"/>
    </row>
    <row r="271" spans="9:9">
      <c r="I271" s="544"/>
    </row>
    <row r="272" spans="9:9">
      <c r="I272" s="544"/>
    </row>
    <row r="273" spans="9:9">
      <c r="I273" s="544"/>
    </row>
    <row r="274" spans="9:9">
      <c r="I274" s="544"/>
    </row>
    <row r="275" spans="9:9">
      <c r="I275" s="544"/>
    </row>
    <row r="276" spans="9:9">
      <c r="I276" s="544"/>
    </row>
    <row r="277" spans="9:9">
      <c r="I277" s="544"/>
    </row>
    <row r="278" spans="9:9">
      <c r="I278" s="544"/>
    </row>
    <row r="279" spans="9:9">
      <c r="I279" s="544"/>
    </row>
    <row r="280" spans="9:9">
      <c r="I280" s="544"/>
    </row>
    <row r="281" spans="9:9">
      <c r="I281" s="544"/>
    </row>
    <row r="282" spans="9:9">
      <c r="I282" s="544"/>
    </row>
    <row r="283" spans="9:9">
      <c r="I283" s="544"/>
    </row>
    <row r="284" spans="9:9">
      <c r="I284" s="544"/>
    </row>
    <row r="285" spans="9:9">
      <c r="I285" s="544"/>
    </row>
    <row r="286" spans="9:9">
      <c r="I286" s="544"/>
    </row>
    <row r="287" spans="9:9">
      <c r="I287" s="544"/>
    </row>
    <row r="288" spans="9:9">
      <c r="I288" s="544"/>
    </row>
    <row r="289" spans="9:9">
      <c r="I289" s="544"/>
    </row>
    <row r="290" spans="9:9">
      <c r="I290" s="544"/>
    </row>
    <row r="291" spans="9:9">
      <c r="I291" s="544"/>
    </row>
    <row r="292" spans="9:9">
      <c r="I292" s="544"/>
    </row>
    <row r="293" spans="9:9">
      <c r="I293" s="544"/>
    </row>
    <row r="294" spans="9:9">
      <c r="I294" s="544"/>
    </row>
    <row r="295" spans="9:9">
      <c r="I295" s="544"/>
    </row>
    <row r="296" spans="9:9">
      <c r="I296" s="544"/>
    </row>
    <row r="297" spans="9:9">
      <c r="I297" s="544"/>
    </row>
    <row r="298" spans="9:9">
      <c r="I298" s="544"/>
    </row>
    <row r="299" spans="9:9">
      <c r="I299" s="544"/>
    </row>
    <row r="300" spans="9:9">
      <c r="I300" s="544"/>
    </row>
    <row r="301" spans="9:9">
      <c r="I301" s="544"/>
    </row>
    <row r="302" spans="9:9">
      <c r="I302" s="544"/>
    </row>
    <row r="303" spans="9:9">
      <c r="I303" s="544"/>
    </row>
    <row r="304" spans="9:9">
      <c r="I304" s="544"/>
    </row>
    <row r="305" spans="9:9">
      <c r="I305" s="544"/>
    </row>
    <row r="306" spans="9:9">
      <c r="I306" s="544"/>
    </row>
    <row r="307" spans="9:9">
      <c r="I307" s="544"/>
    </row>
    <row r="308" spans="9:9">
      <c r="I308" s="544"/>
    </row>
    <row r="309" spans="9:9">
      <c r="I309" s="544"/>
    </row>
    <row r="310" spans="9:9">
      <c r="I310" s="544"/>
    </row>
    <row r="311" spans="9:9">
      <c r="I311" s="544"/>
    </row>
    <row r="312" spans="9:9">
      <c r="I312" s="544"/>
    </row>
    <row r="313" spans="9:9">
      <c r="I313" s="544"/>
    </row>
    <row r="314" spans="9:9">
      <c r="I314" s="544"/>
    </row>
    <row r="315" spans="9:9">
      <c r="I315" s="544"/>
    </row>
    <row r="316" spans="9:9">
      <c r="I316" s="544"/>
    </row>
    <row r="317" spans="9:9">
      <c r="I317" s="544"/>
    </row>
    <row r="318" spans="9:9">
      <c r="I318" s="544"/>
    </row>
    <row r="319" spans="9:9">
      <c r="I319" s="544"/>
    </row>
    <row r="320" spans="9:9">
      <c r="I320" s="544"/>
    </row>
    <row r="321" spans="9:9">
      <c r="I321" s="544"/>
    </row>
    <row r="322" spans="9:9">
      <c r="I322" s="544"/>
    </row>
    <row r="323" spans="9:9">
      <c r="I323" s="544"/>
    </row>
    <row r="324" spans="9:9">
      <c r="I324" s="544"/>
    </row>
    <row r="325" spans="9:9">
      <c r="I325" s="544"/>
    </row>
    <row r="326" spans="9:9">
      <c r="I326" s="544"/>
    </row>
    <row r="327" spans="9:9">
      <c r="I327" s="544"/>
    </row>
    <row r="328" spans="9:9">
      <c r="I328" s="544"/>
    </row>
    <row r="329" spans="9:9">
      <c r="I329" s="544"/>
    </row>
    <row r="330" spans="9:9">
      <c r="I330" s="544"/>
    </row>
    <row r="331" spans="9:9">
      <c r="I331" s="544"/>
    </row>
    <row r="332" spans="9:9">
      <c r="I332" s="544"/>
    </row>
    <row r="333" spans="9:9">
      <c r="I333" s="544"/>
    </row>
    <row r="334" spans="9:9">
      <c r="I334" s="544"/>
    </row>
    <row r="335" spans="9:9">
      <c r="I335" s="544"/>
    </row>
    <row r="336" spans="9:9">
      <c r="I336" s="544"/>
    </row>
    <row r="337" spans="9:9">
      <c r="I337" s="544"/>
    </row>
    <row r="338" spans="9:9">
      <c r="I338" s="544"/>
    </row>
    <row r="339" spans="9:9">
      <c r="I339" s="544"/>
    </row>
    <row r="340" spans="9:9">
      <c r="I340" s="544"/>
    </row>
    <row r="341" spans="9:9">
      <c r="I341" s="544"/>
    </row>
    <row r="342" spans="9:9">
      <c r="I342" s="544"/>
    </row>
    <row r="343" spans="9:9">
      <c r="I343" s="544"/>
    </row>
    <row r="344" spans="9:9">
      <c r="I344" s="544"/>
    </row>
    <row r="345" spans="9:9">
      <c r="I345" s="544"/>
    </row>
    <row r="346" spans="9:9">
      <c r="I346" s="544"/>
    </row>
    <row r="347" spans="9:9">
      <c r="I347" s="544"/>
    </row>
    <row r="348" spans="9:9">
      <c r="I348" s="544"/>
    </row>
    <row r="349" spans="9:9">
      <c r="I349" s="544"/>
    </row>
    <row r="350" spans="9:9">
      <c r="I350" s="544"/>
    </row>
    <row r="351" spans="9:9">
      <c r="I351" s="544"/>
    </row>
    <row r="352" spans="9:9">
      <c r="I352" s="544"/>
    </row>
    <row r="353" spans="9:9">
      <c r="I353" s="544"/>
    </row>
    <row r="354" spans="9:9">
      <c r="I354" s="544"/>
    </row>
    <row r="355" spans="9:9">
      <c r="I355" s="544"/>
    </row>
    <row r="356" spans="9:9">
      <c r="I356" s="544"/>
    </row>
    <row r="357" spans="9:9">
      <c r="I357" s="544"/>
    </row>
    <row r="358" spans="9:9">
      <c r="I358" s="544"/>
    </row>
    <row r="359" spans="9:9">
      <c r="I359" s="544"/>
    </row>
    <row r="360" spans="9:9">
      <c r="I360" s="544"/>
    </row>
    <row r="361" spans="9:9">
      <c r="I361" s="544"/>
    </row>
    <row r="362" spans="9:9">
      <c r="I362" s="544"/>
    </row>
    <row r="363" spans="9:9">
      <c r="I363" s="544"/>
    </row>
    <row r="364" spans="9:9">
      <c r="I364" s="544"/>
    </row>
    <row r="365" spans="9:9">
      <c r="I365" s="544"/>
    </row>
    <row r="366" spans="9:9">
      <c r="I366" s="544"/>
    </row>
    <row r="367" spans="9:9">
      <c r="I367" s="544"/>
    </row>
    <row r="368" spans="9:9">
      <c r="I368" s="544"/>
    </row>
    <row r="369" spans="9:9">
      <c r="I369" s="544"/>
    </row>
    <row r="370" spans="9:9">
      <c r="I370" s="544"/>
    </row>
    <row r="371" spans="9:9">
      <c r="I371" s="544"/>
    </row>
    <row r="372" spans="9:9">
      <c r="I372" s="544"/>
    </row>
    <row r="373" spans="9:9">
      <c r="I373" s="544"/>
    </row>
    <row r="374" spans="9:9">
      <c r="I374" s="544"/>
    </row>
    <row r="375" spans="9:9">
      <c r="I375" s="544"/>
    </row>
    <row r="376" spans="9:9">
      <c r="I376" s="544"/>
    </row>
    <row r="377" spans="9:9">
      <c r="I377" s="544"/>
    </row>
    <row r="378" spans="9:9">
      <c r="I378" s="544"/>
    </row>
    <row r="379" spans="9:9">
      <c r="I379" s="544"/>
    </row>
    <row r="380" spans="9:9">
      <c r="I380" s="544"/>
    </row>
    <row r="381" spans="9:9">
      <c r="I381" s="544"/>
    </row>
    <row r="382" spans="9:9">
      <c r="I382" s="544"/>
    </row>
    <row r="383" spans="9:9">
      <c r="I383" s="544"/>
    </row>
    <row r="384" spans="9:9">
      <c r="I384" s="544"/>
    </row>
    <row r="385" spans="9:9">
      <c r="I385" s="544"/>
    </row>
    <row r="386" spans="9:9">
      <c r="I386" s="544"/>
    </row>
    <row r="387" spans="9:9">
      <c r="I387" s="544"/>
    </row>
    <row r="388" spans="9:9">
      <c r="I388" s="544"/>
    </row>
    <row r="389" spans="9:9">
      <c r="I389" s="544"/>
    </row>
    <row r="390" spans="9:9">
      <c r="I390" s="544"/>
    </row>
    <row r="391" spans="9:9">
      <c r="I391" s="544"/>
    </row>
    <row r="392" spans="9:9">
      <c r="I392" s="544"/>
    </row>
    <row r="393" spans="9:9">
      <c r="I393" s="544"/>
    </row>
    <row r="394" spans="9:9">
      <c r="I394" s="544"/>
    </row>
    <row r="395" spans="9:9">
      <c r="I395" s="544"/>
    </row>
    <row r="396" spans="9:9">
      <c r="I396" s="544"/>
    </row>
    <row r="397" spans="9:9">
      <c r="I397" s="544"/>
    </row>
    <row r="398" spans="9:9">
      <c r="I398" s="544"/>
    </row>
    <row r="399" spans="9:9">
      <c r="I399" s="544"/>
    </row>
    <row r="400" spans="9:9">
      <c r="I400" s="544"/>
    </row>
    <row r="401" spans="9:9">
      <c r="I401" s="544"/>
    </row>
    <row r="402" spans="9:9">
      <c r="I402" s="544"/>
    </row>
    <row r="403" spans="9:9">
      <c r="I403" s="544"/>
    </row>
    <row r="404" spans="9:9">
      <c r="I404" s="544"/>
    </row>
    <row r="405" spans="9:9">
      <c r="I405" s="544"/>
    </row>
    <row r="406" spans="9:9">
      <c r="I406" s="544"/>
    </row>
    <row r="407" spans="9:9">
      <c r="I407" s="544"/>
    </row>
    <row r="408" spans="9:9">
      <c r="I408" s="544"/>
    </row>
    <row r="409" spans="9:9">
      <c r="I409" s="544"/>
    </row>
    <row r="410" spans="9:9">
      <c r="I410" s="544"/>
    </row>
    <row r="411" spans="9:9">
      <c r="I411" s="544"/>
    </row>
    <row r="412" spans="9:9">
      <c r="I412" s="544"/>
    </row>
    <row r="413" spans="9:9">
      <c r="I413" s="544"/>
    </row>
    <row r="414" spans="9:9">
      <c r="I414" s="544"/>
    </row>
    <row r="415" spans="9:9">
      <c r="I415" s="544"/>
    </row>
    <row r="416" spans="9:9">
      <c r="I416" s="544"/>
    </row>
    <row r="417" spans="9:9">
      <c r="I417" s="544"/>
    </row>
    <row r="418" spans="9:9">
      <c r="I418" s="544"/>
    </row>
    <row r="419" spans="9:9">
      <c r="I419" s="544"/>
    </row>
    <row r="420" spans="9:9">
      <c r="I420" s="544"/>
    </row>
    <row r="421" spans="9:9">
      <c r="I421" s="544"/>
    </row>
    <row r="422" spans="9:9">
      <c r="I422" s="544"/>
    </row>
    <row r="423" spans="9:9">
      <c r="I423" s="544"/>
    </row>
    <row r="424" spans="9:9">
      <c r="I424" s="544"/>
    </row>
    <row r="425" spans="9:9">
      <c r="I425" s="544"/>
    </row>
    <row r="426" spans="9:9">
      <c r="I426" s="544"/>
    </row>
    <row r="427" spans="9:9">
      <c r="I427" s="544"/>
    </row>
    <row r="428" spans="9:9">
      <c r="I428" s="544"/>
    </row>
    <row r="429" spans="9:9">
      <c r="I429" s="544"/>
    </row>
    <row r="430" spans="9:9">
      <c r="I430" s="544"/>
    </row>
    <row r="431" spans="9:9">
      <c r="I431" s="544"/>
    </row>
    <row r="432" spans="9:9">
      <c r="I432" s="544"/>
    </row>
    <row r="433" spans="9:9">
      <c r="I433" s="544"/>
    </row>
    <row r="434" spans="9:9">
      <c r="I434" s="544"/>
    </row>
    <row r="435" spans="9:9">
      <c r="I435" s="544"/>
    </row>
    <row r="436" spans="9:9">
      <c r="I436" s="544"/>
    </row>
    <row r="437" spans="9:9">
      <c r="I437" s="544"/>
    </row>
    <row r="438" spans="9:9">
      <c r="I438" s="544"/>
    </row>
    <row r="439" spans="9:9">
      <c r="I439" s="544"/>
    </row>
    <row r="440" spans="9:9">
      <c r="I440" s="544"/>
    </row>
    <row r="441" spans="9:9">
      <c r="I441" s="544"/>
    </row>
    <row r="442" spans="9:9">
      <c r="I442" s="544"/>
    </row>
    <row r="443" spans="9:9">
      <c r="I443" s="544"/>
    </row>
    <row r="444" spans="9:9">
      <c r="I444" s="544"/>
    </row>
    <row r="445" spans="9:9">
      <c r="I445" s="544"/>
    </row>
    <row r="446" spans="9:9">
      <c r="I446" s="544"/>
    </row>
    <row r="447" spans="9:9">
      <c r="I447" s="544"/>
    </row>
    <row r="448" spans="9:9">
      <c r="I448" s="544"/>
    </row>
    <row r="449" spans="9:9">
      <c r="I449" s="544"/>
    </row>
    <row r="450" spans="9:9">
      <c r="I450" s="544"/>
    </row>
    <row r="451" spans="9:9">
      <c r="I451" s="544"/>
    </row>
    <row r="452" spans="9:9">
      <c r="I452" s="544"/>
    </row>
    <row r="453" spans="9:9">
      <c r="I453" s="544"/>
    </row>
    <row r="454" spans="9:9">
      <c r="I454" s="544"/>
    </row>
    <row r="455" spans="9:9">
      <c r="I455" s="544"/>
    </row>
    <row r="456" spans="9:9">
      <c r="I456" s="544"/>
    </row>
    <row r="457" spans="9:9">
      <c r="I457" s="544"/>
    </row>
    <row r="458" spans="9:9">
      <c r="I458" s="544"/>
    </row>
    <row r="459" spans="9:9">
      <c r="I459" s="544"/>
    </row>
    <row r="460" spans="9:9">
      <c r="I460" s="544"/>
    </row>
    <row r="461" spans="9:9">
      <c r="I461" s="544"/>
    </row>
    <row r="462" spans="9:9">
      <c r="I462" s="544"/>
    </row>
    <row r="463" spans="9:9">
      <c r="I463" s="544"/>
    </row>
    <row r="464" spans="9:9">
      <c r="I464" s="544"/>
    </row>
    <row r="465" spans="9:9">
      <c r="I465" s="544"/>
    </row>
    <row r="466" spans="9:9">
      <c r="I466" s="544"/>
    </row>
    <row r="467" spans="9:9">
      <c r="I467" s="544"/>
    </row>
    <row r="468" spans="9:9">
      <c r="I468" s="544"/>
    </row>
    <row r="469" spans="9:9">
      <c r="I469" s="544"/>
    </row>
    <row r="470" spans="9:9">
      <c r="I470" s="544"/>
    </row>
    <row r="471" spans="9:9">
      <c r="I471" s="544"/>
    </row>
    <row r="472" spans="9:9">
      <c r="I472" s="544"/>
    </row>
    <row r="473" spans="9:9">
      <c r="I473" s="544"/>
    </row>
    <row r="474" spans="9:9">
      <c r="I474" s="544"/>
    </row>
    <row r="475" spans="9:9">
      <c r="I475" s="544"/>
    </row>
    <row r="476" spans="9:9">
      <c r="I476" s="544"/>
    </row>
    <row r="477" spans="9:9">
      <c r="I477" s="544"/>
    </row>
    <row r="478" spans="9:9">
      <c r="I478" s="544"/>
    </row>
    <row r="479" spans="9:9">
      <c r="I479" s="544"/>
    </row>
    <row r="480" spans="9:9">
      <c r="I480" s="544"/>
    </row>
    <row r="481" spans="9:9">
      <c r="I481" s="544"/>
    </row>
    <row r="482" spans="9:9">
      <c r="I482" s="544"/>
    </row>
    <row r="483" spans="9:9">
      <c r="I483" s="544"/>
    </row>
    <row r="484" spans="9:9">
      <c r="I484" s="544"/>
    </row>
    <row r="485" spans="9:9">
      <c r="I485" s="544"/>
    </row>
    <row r="486" spans="9:9">
      <c r="I486" s="544"/>
    </row>
    <row r="487" spans="9:9">
      <c r="I487" s="544"/>
    </row>
    <row r="488" spans="9:9">
      <c r="I488" s="544"/>
    </row>
    <row r="489" spans="9:9">
      <c r="I489" s="544"/>
    </row>
    <row r="490" spans="9:9">
      <c r="I490" s="544"/>
    </row>
    <row r="491" spans="9:9">
      <c r="I491" s="544"/>
    </row>
    <row r="492" spans="9:9">
      <c r="I492" s="544"/>
    </row>
    <row r="493" spans="9:9">
      <c r="I493" s="544"/>
    </row>
    <row r="494" spans="9:9">
      <c r="I494" s="544"/>
    </row>
    <row r="495" spans="9:9">
      <c r="I495" s="544"/>
    </row>
    <row r="496" spans="9:9">
      <c r="I496" s="544"/>
    </row>
    <row r="497" spans="9:9">
      <c r="I497" s="544"/>
    </row>
    <row r="498" spans="9:9">
      <c r="I498" s="544"/>
    </row>
    <row r="499" spans="9:9">
      <c r="I499" s="544"/>
    </row>
    <row r="500" spans="9:9">
      <c r="I500" s="544"/>
    </row>
    <row r="501" spans="9:9">
      <c r="I501" s="544"/>
    </row>
    <row r="502" spans="9:9">
      <c r="I502" s="544"/>
    </row>
    <row r="503" spans="9:9">
      <c r="I503" s="544"/>
    </row>
    <row r="504" spans="9:9">
      <c r="I504" s="544"/>
    </row>
    <row r="505" spans="9:9">
      <c r="I505" s="544"/>
    </row>
    <row r="506" spans="9:9">
      <c r="I506" s="544"/>
    </row>
    <row r="507" spans="9:9">
      <c r="I507" s="544"/>
    </row>
    <row r="508" spans="9:9">
      <c r="I508" s="544"/>
    </row>
    <row r="509" spans="9:9">
      <c r="I509" s="544"/>
    </row>
    <row r="510" spans="9:9">
      <c r="I510" s="544"/>
    </row>
    <row r="511" spans="9:9">
      <c r="I511" s="544"/>
    </row>
    <row r="512" spans="9:9">
      <c r="I512" s="544"/>
    </row>
    <row r="513" spans="9:9">
      <c r="I513" s="544"/>
    </row>
    <row r="514" spans="9:9">
      <c r="I514" s="544"/>
    </row>
    <row r="515" spans="9:9">
      <c r="I515" s="544"/>
    </row>
    <row r="516" spans="9:9">
      <c r="I516" s="544"/>
    </row>
    <row r="517" spans="9:9">
      <c r="I517" s="544"/>
    </row>
    <row r="518" spans="9:9">
      <c r="I518" s="544"/>
    </row>
    <row r="519" spans="9:9">
      <c r="I519" s="544"/>
    </row>
    <row r="520" spans="9:9">
      <c r="I520" s="544"/>
    </row>
    <row r="521" spans="9:9">
      <c r="I521" s="544"/>
    </row>
    <row r="522" spans="9:9">
      <c r="I522" s="544"/>
    </row>
    <row r="523" spans="9:9">
      <c r="I523" s="544"/>
    </row>
    <row r="524" spans="9:9">
      <c r="I524" s="544"/>
    </row>
    <row r="525" spans="9:9">
      <c r="I525" s="544"/>
    </row>
    <row r="526" spans="9:9">
      <c r="I526" s="544"/>
    </row>
    <row r="527" spans="9:9">
      <c r="I527" s="544"/>
    </row>
    <row r="528" spans="9:9">
      <c r="I528" s="544"/>
    </row>
    <row r="529" spans="9:9">
      <c r="I529" s="544"/>
    </row>
    <row r="530" spans="9:9">
      <c r="I530" s="544"/>
    </row>
    <row r="531" spans="9:9">
      <c r="I531" s="544"/>
    </row>
    <row r="532" spans="9:9">
      <c r="I532" s="544"/>
    </row>
    <row r="533" spans="9:9">
      <c r="I533" s="544"/>
    </row>
    <row r="534" spans="9:9">
      <c r="I534" s="544"/>
    </row>
    <row r="535" spans="9:9">
      <c r="I535" s="544"/>
    </row>
    <row r="536" spans="9:9">
      <c r="I536" s="544"/>
    </row>
    <row r="537" spans="9:9">
      <c r="I537" s="544"/>
    </row>
    <row r="538" spans="9:9">
      <c r="I538" s="544"/>
    </row>
    <row r="539" spans="9:9">
      <c r="I539" s="544"/>
    </row>
    <row r="540" spans="9:9">
      <c r="I540" s="544"/>
    </row>
    <row r="541" spans="9:9">
      <c r="I541" s="544"/>
    </row>
    <row r="542" spans="9:9">
      <c r="I542" s="544"/>
    </row>
    <row r="543" spans="9:9">
      <c r="I543" s="544"/>
    </row>
    <row r="544" spans="9:9">
      <c r="I544" s="544"/>
    </row>
    <row r="545" spans="9:9">
      <c r="I545" s="544"/>
    </row>
    <row r="546" spans="9:9">
      <c r="I546" s="544"/>
    </row>
    <row r="547" spans="9:9">
      <c r="I547" s="544"/>
    </row>
    <row r="548" spans="9:9">
      <c r="I548" s="544"/>
    </row>
    <row r="549" spans="9:9">
      <c r="I549" s="544"/>
    </row>
    <row r="550" spans="9:9">
      <c r="I550" s="544"/>
    </row>
    <row r="551" spans="9:9">
      <c r="I551" s="544"/>
    </row>
    <row r="552" spans="9:9">
      <c r="I552" s="544"/>
    </row>
    <row r="553" spans="9:9">
      <c r="I553" s="544"/>
    </row>
    <row r="554" spans="9:9">
      <c r="I554" s="544"/>
    </row>
    <row r="555" spans="9:9">
      <c r="I555" s="544"/>
    </row>
    <row r="556" spans="9:9">
      <c r="I556" s="544"/>
    </row>
    <row r="557" spans="9:9">
      <c r="I557" s="544"/>
    </row>
    <row r="558" spans="9:9">
      <c r="I558" s="544"/>
    </row>
    <row r="559" spans="9:9">
      <c r="I559" s="544"/>
    </row>
    <row r="560" spans="9:9">
      <c r="I560" s="544"/>
    </row>
    <row r="561" spans="9:9">
      <c r="I561" s="544"/>
    </row>
    <row r="562" spans="9:9">
      <c r="I562" s="544"/>
    </row>
    <row r="563" spans="9:9">
      <c r="I563" s="544"/>
    </row>
    <row r="564" spans="9:9">
      <c r="I564" s="544"/>
    </row>
    <row r="565" spans="9:9">
      <c r="I565" s="544"/>
    </row>
    <row r="566" spans="9:9">
      <c r="I566" s="544"/>
    </row>
    <row r="567" spans="9:9">
      <c r="I567" s="544"/>
    </row>
    <row r="568" spans="9:9">
      <c r="I568" s="544"/>
    </row>
    <row r="569" spans="9:9">
      <c r="I569" s="544"/>
    </row>
    <row r="570" spans="9:9">
      <c r="I570" s="544"/>
    </row>
    <row r="571" spans="9:9">
      <c r="I571" s="544"/>
    </row>
    <row r="572" spans="9:9">
      <c r="I572" s="544"/>
    </row>
    <row r="573" spans="9:9">
      <c r="I573" s="544"/>
    </row>
    <row r="574" spans="9:9">
      <c r="I574" s="544"/>
    </row>
    <row r="575" spans="9:9">
      <c r="I575" s="544"/>
    </row>
    <row r="576" spans="9:9">
      <c r="I576" s="544"/>
    </row>
    <row r="577" spans="9:9">
      <c r="I577" s="544"/>
    </row>
    <row r="578" spans="9:9">
      <c r="I578" s="544"/>
    </row>
    <row r="579" spans="9:9">
      <c r="I579" s="544"/>
    </row>
    <row r="580" spans="9:9">
      <c r="I580" s="544"/>
    </row>
    <row r="581" spans="9:9">
      <c r="I581" s="544"/>
    </row>
    <row r="582" spans="9:9">
      <c r="I582" s="544"/>
    </row>
    <row r="583" spans="9:9">
      <c r="I583" s="544"/>
    </row>
    <row r="584" spans="9:9">
      <c r="I584" s="544"/>
    </row>
    <row r="585" spans="9:9">
      <c r="I585" s="544"/>
    </row>
    <row r="586" spans="9:9">
      <c r="I586" s="544"/>
    </row>
    <row r="587" spans="9:9">
      <c r="I587" s="544"/>
    </row>
    <row r="588" spans="9:9">
      <c r="I588" s="544"/>
    </row>
    <row r="589" spans="9:9">
      <c r="I589" s="544"/>
    </row>
    <row r="590" spans="9:9">
      <c r="I590" s="544"/>
    </row>
    <row r="591" spans="9:9">
      <c r="I591" s="544"/>
    </row>
    <row r="592" spans="9:9">
      <c r="I592" s="544"/>
    </row>
    <row r="593" spans="9:9">
      <c r="I593" s="544"/>
    </row>
    <row r="594" spans="9:9">
      <c r="I594" s="544"/>
    </row>
    <row r="595" spans="9:9">
      <c r="I595" s="544"/>
    </row>
    <row r="596" spans="9:9">
      <c r="I596" s="544"/>
    </row>
    <row r="597" spans="9:9">
      <c r="I597" s="544"/>
    </row>
    <row r="598" spans="9:9">
      <c r="I598" s="544"/>
    </row>
    <row r="599" spans="9:9">
      <c r="I599" s="544"/>
    </row>
    <row r="600" spans="9:9">
      <c r="I600" s="544"/>
    </row>
    <row r="601" spans="9:9">
      <c r="I601" s="544"/>
    </row>
    <row r="602" spans="9:9">
      <c r="I602" s="544"/>
    </row>
    <row r="603" spans="9:9">
      <c r="I603" s="544"/>
    </row>
    <row r="604" spans="9:9">
      <c r="I604" s="544"/>
    </row>
    <row r="605" spans="9:9">
      <c r="I605" s="544"/>
    </row>
    <row r="606" spans="9:9">
      <c r="I606" s="544"/>
    </row>
    <row r="607" spans="9:9">
      <c r="I607" s="544"/>
    </row>
    <row r="608" spans="9:9">
      <c r="I608" s="544"/>
    </row>
    <row r="609" spans="9:9">
      <c r="I609" s="544"/>
    </row>
    <row r="610" spans="9:9">
      <c r="I610" s="544"/>
    </row>
    <row r="611" spans="9:9">
      <c r="I611" s="544"/>
    </row>
    <row r="612" spans="9:9">
      <c r="I612" s="544"/>
    </row>
    <row r="613" spans="9:9">
      <c r="I613" s="544"/>
    </row>
    <row r="614" spans="9:9">
      <c r="I614" s="544"/>
    </row>
    <row r="615" spans="9:9">
      <c r="I615" s="544"/>
    </row>
    <row r="616" spans="9:9">
      <c r="I616" s="544"/>
    </row>
    <row r="617" spans="9:9">
      <c r="I617" s="544"/>
    </row>
    <row r="618" spans="9:9">
      <c r="I618" s="544"/>
    </row>
    <row r="619" spans="9:9">
      <c r="I619" s="544"/>
    </row>
    <row r="620" spans="9:9">
      <c r="I620" s="544"/>
    </row>
    <row r="621" spans="9:9">
      <c r="I621" s="544"/>
    </row>
    <row r="622" spans="9:9">
      <c r="I622" s="544"/>
    </row>
    <row r="623" spans="9:9">
      <c r="I623" s="544"/>
    </row>
    <row r="624" spans="9:9">
      <c r="I624" s="544"/>
    </row>
    <row r="625" spans="9:9">
      <c r="I625" s="544"/>
    </row>
    <row r="626" spans="9:9">
      <c r="I626" s="544"/>
    </row>
    <row r="627" spans="9:9">
      <c r="I627" s="544"/>
    </row>
    <row r="628" spans="9:9">
      <c r="I628" s="544"/>
    </row>
    <row r="629" spans="9:9">
      <c r="I629" s="544"/>
    </row>
    <row r="630" spans="9:9">
      <c r="I630" s="544"/>
    </row>
    <row r="631" spans="9:9">
      <c r="I631" s="544"/>
    </row>
    <row r="632" spans="9:9">
      <c r="I632" s="544"/>
    </row>
    <row r="633" spans="9:9">
      <c r="I633" s="544"/>
    </row>
    <row r="634" spans="9:9">
      <c r="I634" s="544"/>
    </row>
    <row r="635" spans="9:9">
      <c r="I635" s="544"/>
    </row>
    <row r="636" spans="9:9">
      <c r="I636" s="544"/>
    </row>
    <row r="637" spans="9:9">
      <c r="I637" s="544"/>
    </row>
    <row r="638" spans="9:9">
      <c r="I638" s="544"/>
    </row>
    <row r="639" spans="9:9">
      <c r="I639" s="544"/>
    </row>
    <row r="640" spans="9:9">
      <c r="I640" s="544"/>
    </row>
    <row r="641" spans="9:9">
      <c r="I641" s="544"/>
    </row>
    <row r="642" spans="9:9">
      <c r="I642" s="544"/>
    </row>
    <row r="643" spans="9:9">
      <c r="I643" s="544"/>
    </row>
    <row r="644" spans="9:9">
      <c r="I644" s="544"/>
    </row>
    <row r="645" spans="9:9">
      <c r="I645" s="544"/>
    </row>
    <row r="646" spans="9:9">
      <c r="I646" s="544"/>
    </row>
    <row r="647" spans="9:9">
      <c r="I647" s="544"/>
    </row>
    <row r="648" spans="9:9">
      <c r="I648" s="544"/>
    </row>
    <row r="649" spans="9:9">
      <c r="I649" s="544"/>
    </row>
    <row r="650" spans="9:9">
      <c r="I650" s="544"/>
    </row>
    <row r="651" spans="9:9">
      <c r="I651" s="544"/>
    </row>
    <row r="652" spans="9:9">
      <c r="I652" s="544"/>
    </row>
    <row r="653" spans="9:9">
      <c r="I653" s="544"/>
    </row>
    <row r="654" spans="9:9">
      <c r="I654" s="544"/>
    </row>
    <row r="655" spans="9:9">
      <c r="I655" s="544"/>
    </row>
    <row r="656" spans="9:9">
      <c r="I656" s="544"/>
    </row>
    <row r="657" spans="9:9">
      <c r="I657" s="544"/>
    </row>
    <row r="658" spans="9:9">
      <c r="I658" s="544"/>
    </row>
    <row r="659" spans="9:9">
      <c r="I659" s="544"/>
    </row>
    <row r="660" spans="9:9">
      <c r="I660" s="544"/>
    </row>
    <row r="661" spans="9:9">
      <c r="I661" s="544"/>
    </row>
    <row r="662" spans="9:9">
      <c r="I662" s="544"/>
    </row>
    <row r="663" spans="9:9">
      <c r="I663" s="544"/>
    </row>
    <row r="664" spans="9:9">
      <c r="I664" s="544"/>
    </row>
    <row r="665" spans="9:9">
      <c r="I665" s="544"/>
    </row>
    <row r="666" spans="9:9">
      <c r="I666" s="544"/>
    </row>
    <row r="667" spans="9:9">
      <c r="I667" s="544"/>
    </row>
    <row r="668" spans="9:9">
      <c r="I668" s="544"/>
    </row>
    <row r="669" spans="9:9">
      <c r="I669" s="544"/>
    </row>
    <row r="670" spans="9:9">
      <c r="I670" s="544"/>
    </row>
    <row r="671" spans="9:9">
      <c r="I671" s="544"/>
    </row>
    <row r="672" spans="9:9">
      <c r="I672" s="544"/>
    </row>
    <row r="673" spans="9:9">
      <c r="I673" s="544"/>
    </row>
    <row r="674" spans="9:9">
      <c r="I674" s="544"/>
    </row>
    <row r="675" spans="9:9">
      <c r="I675" s="544"/>
    </row>
    <row r="676" spans="9:9">
      <c r="I676" s="544"/>
    </row>
    <row r="677" spans="9:9">
      <c r="I677" s="544"/>
    </row>
    <row r="678" spans="9:9">
      <c r="I678" s="544"/>
    </row>
    <row r="679" spans="9:9">
      <c r="I679" s="544"/>
    </row>
    <row r="680" spans="9:9">
      <c r="I680" s="544"/>
    </row>
    <row r="681" spans="9:9">
      <c r="I681" s="544"/>
    </row>
    <row r="682" spans="9:9">
      <c r="I682" s="544"/>
    </row>
    <row r="683" spans="9:9">
      <c r="I683" s="544"/>
    </row>
    <row r="684" spans="9:9">
      <c r="I684" s="544"/>
    </row>
    <row r="685" spans="9:9">
      <c r="I685" s="544"/>
    </row>
    <row r="686" spans="9:9">
      <c r="I686" s="544"/>
    </row>
    <row r="687" spans="9:9">
      <c r="I687" s="544"/>
    </row>
    <row r="688" spans="9:9">
      <c r="I688" s="544"/>
    </row>
    <row r="689" spans="9:9">
      <c r="I689" s="544"/>
    </row>
    <row r="690" spans="9:9">
      <c r="I690" s="544"/>
    </row>
    <row r="691" spans="9:9">
      <c r="I691" s="544"/>
    </row>
    <row r="692" spans="9:9">
      <c r="I692" s="544"/>
    </row>
    <row r="693" spans="9:9">
      <c r="I693" s="544"/>
    </row>
    <row r="694" spans="9:9">
      <c r="I694" s="544"/>
    </row>
    <row r="695" spans="9:9">
      <c r="I695" s="544"/>
    </row>
    <row r="696" spans="9:9">
      <c r="I696" s="544"/>
    </row>
    <row r="697" spans="9:9">
      <c r="I697" s="544"/>
    </row>
    <row r="698" spans="9:9">
      <c r="I698" s="544"/>
    </row>
    <row r="699" spans="9:9">
      <c r="I699" s="544"/>
    </row>
    <row r="700" spans="9:9">
      <c r="I700" s="544"/>
    </row>
    <row r="701" spans="9:9">
      <c r="I701" s="544"/>
    </row>
    <row r="702" spans="9:9">
      <c r="I702" s="544"/>
    </row>
    <row r="703" spans="9:9">
      <c r="I703" s="544"/>
    </row>
    <row r="704" spans="9:9">
      <c r="I704" s="544"/>
    </row>
    <row r="705" spans="9:9">
      <c r="I705" s="544"/>
    </row>
    <row r="706" spans="9:9">
      <c r="I706" s="544"/>
    </row>
    <row r="707" spans="9:9">
      <c r="I707" s="544"/>
    </row>
    <row r="708" spans="9:9">
      <c r="I708" s="544"/>
    </row>
    <row r="709" spans="9:9">
      <c r="I709" s="544"/>
    </row>
    <row r="710" spans="9:9">
      <c r="I710" s="544"/>
    </row>
    <row r="711" spans="9:9">
      <c r="I711" s="544"/>
    </row>
    <row r="712" spans="9:9">
      <c r="I712" s="544"/>
    </row>
    <row r="713" spans="9:9">
      <c r="I713" s="544"/>
    </row>
    <row r="714" spans="9:9">
      <c r="I714" s="544"/>
    </row>
    <row r="715" spans="9:9">
      <c r="I715" s="544"/>
    </row>
    <row r="716" spans="9:9">
      <c r="I716" s="544"/>
    </row>
    <row r="717" spans="9:9">
      <c r="I717" s="544"/>
    </row>
    <row r="718" spans="9:9">
      <c r="I718" s="544"/>
    </row>
    <row r="719" spans="9:9">
      <c r="I719" s="544"/>
    </row>
    <row r="720" spans="9:9">
      <c r="I720" s="544"/>
    </row>
    <row r="721" spans="9:9">
      <c r="I721" s="544"/>
    </row>
    <row r="722" spans="9:9">
      <c r="I722" s="544"/>
    </row>
    <row r="723" spans="9:9">
      <c r="I723" s="544"/>
    </row>
    <row r="724" spans="9:9">
      <c r="I724" s="544"/>
    </row>
    <row r="725" spans="9:9">
      <c r="I725" s="544"/>
    </row>
    <row r="726" spans="9:9">
      <c r="I726" s="544"/>
    </row>
    <row r="727" spans="9:9">
      <c r="I727" s="544"/>
    </row>
    <row r="728" spans="9:9">
      <c r="I728" s="544"/>
    </row>
    <row r="729" spans="9:9">
      <c r="I729" s="544"/>
    </row>
    <row r="730" spans="9:9">
      <c r="I730" s="544"/>
    </row>
    <row r="731" spans="9:9">
      <c r="I731" s="544"/>
    </row>
    <row r="732" spans="9:9">
      <c r="I732" s="544"/>
    </row>
    <row r="733" spans="9:9">
      <c r="I733" s="544"/>
    </row>
    <row r="734" spans="9:9">
      <c r="I734" s="544"/>
    </row>
    <row r="735" spans="9:9">
      <c r="I735" s="544"/>
    </row>
    <row r="736" spans="9:9">
      <c r="I736" s="544"/>
    </row>
    <row r="737" spans="9:9">
      <c r="I737" s="544"/>
    </row>
    <row r="738" spans="9:9">
      <c r="I738" s="544"/>
    </row>
    <row r="739" spans="9:9">
      <c r="I739" s="544"/>
    </row>
    <row r="740" spans="9:9">
      <c r="I740" s="544"/>
    </row>
    <row r="741" spans="9:9">
      <c r="I741" s="544"/>
    </row>
    <row r="742" spans="9:9">
      <c r="I742" s="544"/>
    </row>
    <row r="743" spans="9:9">
      <c r="I743" s="544"/>
    </row>
    <row r="744" spans="9:9">
      <c r="I744" s="544"/>
    </row>
    <row r="745" spans="9:9">
      <c r="I745" s="544"/>
    </row>
    <row r="746" spans="9:9">
      <c r="I746" s="544"/>
    </row>
    <row r="747" spans="9:9">
      <c r="I747" s="544"/>
    </row>
    <row r="748" spans="9:9">
      <c r="I748" s="544"/>
    </row>
    <row r="749" spans="9:9">
      <c r="I749" s="544"/>
    </row>
    <row r="750" spans="9:9">
      <c r="I750" s="544"/>
    </row>
    <row r="751" spans="9:9">
      <c r="I751" s="544"/>
    </row>
    <row r="752" spans="9:9">
      <c r="I752" s="544"/>
    </row>
    <row r="753" spans="9:9">
      <c r="I753" s="544"/>
    </row>
    <row r="754" spans="9:9">
      <c r="I754" s="544"/>
    </row>
    <row r="755" spans="9:9">
      <c r="I755" s="544"/>
    </row>
    <row r="756" spans="9:9">
      <c r="I756" s="544"/>
    </row>
    <row r="757" spans="9:9">
      <c r="I757" s="544"/>
    </row>
    <row r="758" spans="9:9">
      <c r="I758" s="544"/>
    </row>
    <row r="759" spans="9:9">
      <c r="I759" s="544"/>
    </row>
    <row r="760" spans="9:9">
      <c r="I760" s="544"/>
    </row>
    <row r="761" spans="9:9">
      <c r="I761" s="544"/>
    </row>
    <row r="762" spans="9:9">
      <c r="I762" s="544"/>
    </row>
    <row r="763" spans="9:9">
      <c r="I763" s="544"/>
    </row>
    <row r="764" spans="9:9">
      <c r="I764" s="544"/>
    </row>
    <row r="765" spans="9:9">
      <c r="I765" s="544"/>
    </row>
    <row r="766" spans="9:9">
      <c r="I766" s="544"/>
    </row>
    <row r="767" spans="9:9">
      <c r="I767" s="544"/>
    </row>
    <row r="768" spans="9:9">
      <c r="I768" s="544"/>
    </row>
    <row r="769" spans="9:9">
      <c r="I769" s="544"/>
    </row>
    <row r="770" spans="9:9">
      <c r="I770" s="544"/>
    </row>
    <row r="771" spans="9:9">
      <c r="I771" s="544"/>
    </row>
    <row r="772" spans="9:9">
      <c r="I772" s="544"/>
    </row>
    <row r="773" spans="9:9">
      <c r="I773" s="544"/>
    </row>
    <row r="774" spans="9:9">
      <c r="I774" s="544"/>
    </row>
    <row r="775" spans="9:9">
      <c r="I775" s="544"/>
    </row>
    <row r="776" spans="9:9">
      <c r="I776" s="544"/>
    </row>
    <row r="777" spans="9:9">
      <c r="I777" s="544"/>
    </row>
    <row r="778" spans="9:9">
      <c r="I778" s="544"/>
    </row>
    <row r="779" spans="9:9">
      <c r="I779" s="544"/>
    </row>
    <row r="780" spans="9:9">
      <c r="I780" s="544"/>
    </row>
    <row r="781" spans="9:9">
      <c r="I781" s="544"/>
    </row>
    <row r="782" spans="9:9">
      <c r="I782" s="544"/>
    </row>
    <row r="783" spans="9:9">
      <c r="I783" s="544"/>
    </row>
    <row r="784" spans="9:9">
      <c r="I784" s="544"/>
    </row>
    <row r="785" spans="9:9">
      <c r="I785" s="544"/>
    </row>
    <row r="786" spans="9:9">
      <c r="I786" s="544"/>
    </row>
    <row r="787" spans="9:9">
      <c r="I787" s="544"/>
    </row>
    <row r="788" spans="9:9">
      <c r="I788" s="544"/>
    </row>
    <row r="789" spans="9:9">
      <c r="I789" s="544"/>
    </row>
    <row r="790" spans="9:9">
      <c r="I790" s="544"/>
    </row>
    <row r="791" spans="9:9">
      <c r="I791" s="544"/>
    </row>
    <row r="792" spans="9:9">
      <c r="I792" s="544"/>
    </row>
    <row r="793" spans="9:9">
      <c r="I793" s="544"/>
    </row>
    <row r="794" spans="9:9">
      <c r="I794" s="544"/>
    </row>
    <row r="795" spans="9:9">
      <c r="I795" s="544"/>
    </row>
    <row r="796" spans="9:9">
      <c r="I796" s="544"/>
    </row>
    <row r="797" spans="9:9">
      <c r="I797" s="544"/>
    </row>
    <row r="798" spans="9:9">
      <c r="I798" s="544"/>
    </row>
    <row r="799" spans="9:9">
      <c r="I799" s="544"/>
    </row>
    <row r="800" spans="9:9">
      <c r="I800" s="544"/>
    </row>
    <row r="801" spans="9:9">
      <c r="I801" s="544"/>
    </row>
    <row r="802" spans="9:9">
      <c r="I802" s="544"/>
    </row>
    <row r="803" spans="9:9">
      <c r="I803" s="544"/>
    </row>
    <row r="804" spans="9:9">
      <c r="I804" s="544"/>
    </row>
    <row r="805" spans="9:9">
      <c r="I805" s="544"/>
    </row>
    <row r="806" spans="9:9">
      <c r="I806" s="544"/>
    </row>
    <row r="807" spans="9:9">
      <c r="I807" s="544"/>
    </row>
    <row r="808" spans="9:9">
      <c r="I808" s="544"/>
    </row>
    <row r="809" spans="9:9">
      <c r="I809" s="544"/>
    </row>
    <row r="810" spans="9:9">
      <c r="I810" s="544"/>
    </row>
    <row r="811" spans="9:9">
      <c r="I811" s="544"/>
    </row>
    <row r="812" spans="9:9">
      <c r="I812" s="544"/>
    </row>
    <row r="813" spans="9:9">
      <c r="I813" s="544"/>
    </row>
    <row r="814" spans="9:9">
      <c r="I814" s="544"/>
    </row>
    <row r="815" spans="9:9">
      <c r="I815" s="544"/>
    </row>
    <row r="816" spans="9:9">
      <c r="I816" s="544"/>
    </row>
    <row r="817" spans="9:9">
      <c r="I817" s="544"/>
    </row>
    <row r="818" spans="9:9">
      <c r="I818" s="544"/>
    </row>
    <row r="819" spans="9:9">
      <c r="I819" s="544"/>
    </row>
    <row r="820" spans="9:9">
      <c r="I820" s="544"/>
    </row>
    <row r="821" spans="9:9">
      <c r="I821" s="544"/>
    </row>
    <row r="822" spans="9:9">
      <c r="I822" s="544"/>
    </row>
    <row r="823" spans="9:9">
      <c r="I823" s="544"/>
    </row>
    <row r="824" spans="9:9">
      <c r="I824" s="544"/>
    </row>
    <row r="825" spans="9:9">
      <c r="I825" s="544"/>
    </row>
    <row r="826" spans="9:9">
      <c r="I826" s="544"/>
    </row>
    <row r="827" spans="9:9">
      <c r="I827" s="544"/>
    </row>
    <row r="828" spans="9:9">
      <c r="I828" s="544"/>
    </row>
    <row r="829" spans="9:9">
      <c r="I829" s="544"/>
    </row>
    <row r="830" spans="9:9">
      <c r="I830" s="544"/>
    </row>
    <row r="831" spans="9:9">
      <c r="I831" s="544"/>
    </row>
    <row r="832" spans="9:9">
      <c r="I832" s="544"/>
    </row>
    <row r="833" spans="9:9">
      <c r="I833" s="544"/>
    </row>
    <row r="834" spans="9:9">
      <c r="I834" s="544"/>
    </row>
    <row r="835" spans="9:9">
      <c r="I835" s="544"/>
    </row>
    <row r="836" spans="9:9">
      <c r="I836" s="544"/>
    </row>
    <row r="837" spans="9:9">
      <c r="I837" s="544"/>
    </row>
    <row r="838" spans="9:9">
      <c r="I838" s="544"/>
    </row>
    <row r="839" spans="9:9">
      <c r="I839" s="544"/>
    </row>
    <row r="840" spans="9:9">
      <c r="I840" s="544"/>
    </row>
    <row r="841" spans="9:9">
      <c r="I841" s="544"/>
    </row>
    <row r="842" spans="9:9">
      <c r="I842" s="544"/>
    </row>
    <row r="843" spans="9:9">
      <c r="I843" s="544"/>
    </row>
    <row r="844" spans="9:9">
      <c r="I844" s="544"/>
    </row>
    <row r="845" spans="9:9">
      <c r="I845" s="544"/>
    </row>
    <row r="846" spans="9:9">
      <c r="I846" s="544"/>
    </row>
    <row r="847" spans="9:9">
      <c r="I847" s="544"/>
    </row>
    <row r="848" spans="9:9">
      <c r="I848" s="544"/>
    </row>
    <row r="849" spans="9:9">
      <c r="I849" s="544"/>
    </row>
    <row r="850" spans="9:9">
      <c r="I850" s="544"/>
    </row>
    <row r="851" spans="9:9">
      <c r="I851" s="544"/>
    </row>
    <row r="852" spans="9:9">
      <c r="I852" s="544"/>
    </row>
    <row r="853" spans="9:9">
      <c r="I853" s="544"/>
    </row>
    <row r="854" spans="9:9">
      <c r="I854" s="544"/>
    </row>
    <row r="855" spans="9:9">
      <c r="I855" s="544"/>
    </row>
    <row r="856" spans="9:9">
      <c r="I856" s="544"/>
    </row>
    <row r="857" spans="9:9">
      <c r="I857" s="544"/>
    </row>
    <row r="858" spans="9:9">
      <c r="I858" s="544"/>
    </row>
    <row r="859" spans="9:9">
      <c r="I859" s="544"/>
    </row>
    <row r="860" spans="9:9">
      <c r="I860" s="544"/>
    </row>
    <row r="861" spans="9:9">
      <c r="I861" s="544"/>
    </row>
    <row r="862" spans="9:9">
      <c r="I862" s="544"/>
    </row>
    <row r="863" spans="9:9">
      <c r="I863" s="544"/>
    </row>
    <row r="864" spans="9:9">
      <c r="I864" s="544"/>
    </row>
    <row r="865" spans="9:9">
      <c r="I865" s="544"/>
    </row>
    <row r="866" spans="9:9">
      <c r="I866" s="544"/>
    </row>
    <row r="867" spans="9:9">
      <c r="I867" s="544"/>
    </row>
    <row r="868" spans="9:9">
      <c r="I868" s="544"/>
    </row>
    <row r="869" spans="9:9">
      <c r="I869" s="544"/>
    </row>
    <row r="870" spans="9:9">
      <c r="I870" s="544"/>
    </row>
    <row r="871" spans="9:9">
      <c r="I871" s="544"/>
    </row>
    <row r="872" spans="9:9">
      <c r="I872" s="544"/>
    </row>
    <row r="873" spans="9:9">
      <c r="I873" s="544"/>
    </row>
    <row r="874" spans="9:9">
      <c r="I874" s="544"/>
    </row>
    <row r="875" spans="9:9">
      <c r="I875" s="544"/>
    </row>
    <row r="876" spans="9:9">
      <c r="I876" s="544"/>
    </row>
    <row r="877" spans="9:9">
      <c r="I877" s="544"/>
    </row>
    <row r="878" spans="9:9">
      <c r="I878" s="544"/>
    </row>
    <row r="879" spans="9:9">
      <c r="I879" s="544"/>
    </row>
    <row r="880" spans="9:9">
      <c r="I880" s="544"/>
    </row>
    <row r="881" spans="9:9">
      <c r="I881" s="544"/>
    </row>
    <row r="882" spans="9:9">
      <c r="I882" s="544"/>
    </row>
    <row r="883" spans="9:9">
      <c r="I883" s="544"/>
    </row>
    <row r="884" spans="9:9">
      <c r="I884" s="544"/>
    </row>
    <row r="885" spans="9:9">
      <c r="I885" s="544"/>
    </row>
    <row r="886" spans="9:9">
      <c r="I886" s="544"/>
    </row>
    <row r="887" spans="9:9">
      <c r="I887" s="544"/>
    </row>
    <row r="888" spans="9:9">
      <c r="I888" s="544"/>
    </row>
    <row r="889" spans="9:9">
      <c r="I889" s="544"/>
    </row>
    <row r="890" spans="9:9">
      <c r="I890" s="544"/>
    </row>
    <row r="891" spans="9:9">
      <c r="I891" s="544"/>
    </row>
    <row r="892" spans="9:9">
      <c r="I892" s="544"/>
    </row>
    <row r="893" spans="9:9">
      <c r="I893" s="544"/>
    </row>
    <row r="894" spans="9:9">
      <c r="I894" s="544"/>
    </row>
    <row r="895" spans="9:9">
      <c r="I895" s="544"/>
    </row>
    <row r="896" spans="9:9">
      <c r="I896" s="544"/>
    </row>
    <row r="897" spans="9:9">
      <c r="I897" s="544"/>
    </row>
    <row r="898" spans="9:9">
      <c r="I898" s="544"/>
    </row>
    <row r="899" spans="9:9">
      <c r="I899" s="544"/>
    </row>
    <row r="900" spans="9:9">
      <c r="I900" s="544"/>
    </row>
    <row r="901" spans="9:9">
      <c r="I901" s="544"/>
    </row>
    <row r="902" spans="9:9">
      <c r="I902" s="544"/>
    </row>
    <row r="903" spans="9:9">
      <c r="I903" s="544"/>
    </row>
    <row r="904" spans="9:9">
      <c r="I904" s="544"/>
    </row>
    <row r="905" spans="9:9">
      <c r="I905" s="544"/>
    </row>
    <row r="906" spans="9:9">
      <c r="I906" s="544"/>
    </row>
    <row r="907" spans="9:9">
      <c r="I907" s="544"/>
    </row>
    <row r="908" spans="9:9">
      <c r="I908" s="544"/>
    </row>
    <row r="909" spans="9:9">
      <c r="I909" s="544"/>
    </row>
    <row r="910" spans="9:9">
      <c r="I910" s="544"/>
    </row>
    <row r="911" spans="9:9">
      <c r="I911" s="544"/>
    </row>
    <row r="912" spans="9:9">
      <c r="I912" s="544"/>
    </row>
    <row r="913" spans="9:9">
      <c r="I913" s="544"/>
    </row>
    <row r="914" spans="9:9">
      <c r="I914" s="544"/>
    </row>
    <row r="915" spans="9:9">
      <c r="I915" s="544"/>
    </row>
    <row r="916" spans="9:9">
      <c r="I916" s="544"/>
    </row>
    <row r="917" spans="9:9">
      <c r="I917" s="544"/>
    </row>
    <row r="918" spans="9:9">
      <c r="I918" s="544"/>
    </row>
    <row r="919" spans="9:9">
      <c r="I919" s="544"/>
    </row>
    <row r="920" spans="9:9">
      <c r="I920" s="544"/>
    </row>
    <row r="921" spans="9:9">
      <c r="I921" s="544"/>
    </row>
    <row r="922" spans="9:9">
      <c r="I922" s="544"/>
    </row>
    <row r="923" spans="9:9">
      <c r="I923" s="544"/>
    </row>
    <row r="924" spans="9:9">
      <c r="I924" s="544"/>
    </row>
    <row r="925" spans="9:9">
      <c r="I925" s="544"/>
    </row>
    <row r="926" spans="9:9">
      <c r="I926" s="544"/>
    </row>
    <row r="927" spans="9:9">
      <c r="I927" s="544"/>
    </row>
    <row r="928" spans="9:9">
      <c r="I928" s="544"/>
    </row>
    <row r="929" spans="9:9">
      <c r="I929" s="544"/>
    </row>
    <row r="930" spans="9:9">
      <c r="I930" s="544"/>
    </row>
    <row r="931" spans="9:9">
      <c r="I931" s="544"/>
    </row>
    <row r="932" spans="9:9">
      <c r="I932" s="544"/>
    </row>
    <row r="933" spans="9:9">
      <c r="I933" s="544"/>
    </row>
    <row r="934" spans="9:9">
      <c r="I934" s="544"/>
    </row>
    <row r="935" spans="9:9">
      <c r="I935" s="544"/>
    </row>
    <row r="936" spans="9:9">
      <c r="I936" s="544"/>
    </row>
    <row r="937" spans="9:9">
      <c r="I937" s="544"/>
    </row>
    <row r="938" spans="9:9">
      <c r="I938" s="544"/>
    </row>
    <row r="939" spans="9:9">
      <c r="I939" s="544"/>
    </row>
    <row r="940" spans="9:9">
      <c r="I940" s="544"/>
    </row>
    <row r="941" spans="9:9">
      <c r="I941" s="544"/>
    </row>
    <row r="942" spans="9:9">
      <c r="I942" s="544"/>
    </row>
    <row r="943" spans="9:9">
      <c r="I943" s="544"/>
    </row>
    <row r="944" spans="9:9">
      <c r="I944" s="544"/>
    </row>
    <row r="945" spans="9:9">
      <c r="I945" s="544"/>
    </row>
    <row r="946" spans="9:9">
      <c r="I946" s="544"/>
    </row>
    <row r="947" spans="9:9">
      <c r="I947" s="544"/>
    </row>
    <row r="948" spans="9:9">
      <c r="I948" s="544"/>
    </row>
    <row r="949" spans="9:9">
      <c r="I949" s="544"/>
    </row>
    <row r="950" spans="9:9">
      <c r="I950" s="544"/>
    </row>
    <row r="951" spans="9:9">
      <c r="I951" s="544"/>
    </row>
    <row r="952" spans="9:9">
      <c r="I952" s="544"/>
    </row>
    <row r="953" spans="9:9">
      <c r="I953" s="544"/>
    </row>
    <row r="954" spans="9:9">
      <c r="I954" s="544"/>
    </row>
    <row r="955" spans="9:9">
      <c r="I955" s="544"/>
    </row>
    <row r="956" spans="9:9">
      <c r="I956" s="544"/>
    </row>
    <row r="957" spans="9:9">
      <c r="I957" s="544"/>
    </row>
    <row r="958" spans="9:9">
      <c r="I958" s="544"/>
    </row>
    <row r="959" spans="9:9">
      <c r="I959" s="544"/>
    </row>
    <row r="960" spans="9:9">
      <c r="I960" s="544"/>
    </row>
    <row r="961" spans="9:9">
      <c r="I961" s="544"/>
    </row>
    <row r="962" spans="9:9">
      <c r="I962" s="544"/>
    </row>
    <row r="963" spans="9:9">
      <c r="I963" s="544"/>
    </row>
    <row r="964" spans="9:9">
      <c r="I964" s="544"/>
    </row>
    <row r="965" spans="9:9">
      <c r="I965" s="544"/>
    </row>
    <row r="966" spans="9:9">
      <c r="I966" s="544"/>
    </row>
    <row r="967" spans="9:9">
      <c r="I967" s="544"/>
    </row>
    <row r="968" spans="9:9">
      <c r="I968" s="544"/>
    </row>
    <row r="969" spans="9:9">
      <c r="I969" s="544"/>
    </row>
    <row r="970" spans="9:9">
      <c r="I970" s="544"/>
    </row>
    <row r="971" spans="9:9">
      <c r="I971" s="544"/>
    </row>
    <row r="972" spans="9:9">
      <c r="I972" s="544"/>
    </row>
    <row r="973" spans="9:9">
      <c r="I973" s="544"/>
    </row>
    <row r="974" spans="9:9">
      <c r="I974" s="544"/>
    </row>
    <row r="975" spans="9:9">
      <c r="I975" s="544"/>
    </row>
    <row r="976" spans="9:9">
      <c r="I976" s="544"/>
    </row>
    <row r="977" spans="9:9">
      <c r="I977" s="544"/>
    </row>
    <row r="978" spans="9:9">
      <c r="I978" s="544"/>
    </row>
    <row r="979" spans="9:9">
      <c r="I979" s="544"/>
    </row>
    <row r="980" spans="9:9">
      <c r="I980" s="544"/>
    </row>
    <row r="981" spans="9:9">
      <c r="I981" s="544"/>
    </row>
    <row r="982" spans="9:9">
      <c r="I982" s="544"/>
    </row>
    <row r="983" spans="9:9">
      <c r="I983" s="544"/>
    </row>
    <row r="984" spans="9:9">
      <c r="I984" s="544"/>
    </row>
    <row r="985" spans="9:9">
      <c r="I985" s="544"/>
    </row>
    <row r="986" spans="9:9">
      <c r="I986" s="544"/>
    </row>
    <row r="987" spans="9:9">
      <c r="I987" s="544"/>
    </row>
    <row r="988" spans="9:9">
      <c r="I988" s="544"/>
    </row>
    <row r="989" spans="9:9">
      <c r="I989" s="544"/>
    </row>
    <row r="990" spans="9:9">
      <c r="I990" s="544"/>
    </row>
    <row r="991" spans="9:9">
      <c r="I991" s="544"/>
    </row>
    <row r="992" spans="9:9">
      <c r="I992" s="544"/>
    </row>
    <row r="993" spans="9:9">
      <c r="I993" s="544"/>
    </row>
    <row r="994" spans="9:9">
      <c r="I994" s="544"/>
    </row>
    <row r="995" spans="9:9">
      <c r="I995" s="544"/>
    </row>
    <row r="996" spans="9:9">
      <c r="I996" s="544"/>
    </row>
    <row r="997" spans="9:9">
      <c r="I997" s="544"/>
    </row>
    <row r="998" spans="9:9">
      <c r="I998" s="544"/>
    </row>
    <row r="999" spans="9:9">
      <c r="I999" s="544"/>
    </row>
    <row r="1000" spans="9:9">
      <c r="I1000" s="544"/>
    </row>
    <row r="1001" spans="9:9">
      <c r="I1001" s="544"/>
    </row>
    <row r="1002" spans="9:9">
      <c r="I1002" s="544"/>
    </row>
  </sheetData>
  <sheetProtection algorithmName="SHA-512" hashValue="Tm98vI2sHLvL82G+kXfcV6ebMGxVE/Lq5SKbp3Wzjo8ldLEbvc9y+6M66diFz1xyDk+wtyXGw+H93KgV0yAeXw==" saltValue="aQJg3siIwOfLSnW5zhPb+A==" spinCount="100000" sheet="1" objects="1" scenarios="1" selectLockedCells="1"/>
  <mergeCells count="5">
    <mergeCell ref="B2:M2"/>
    <mergeCell ref="B14:B15"/>
    <mergeCell ref="C33:C35"/>
    <mergeCell ref="B68:I68"/>
    <mergeCell ref="K68:M68"/>
  </mergeCells>
  <pageMargins left="0.25" right="0.25" top="0.25" bottom="0.25" header="0.25" footer="0.25"/>
  <pageSetup scale="5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B7499-EF23-43DA-8CFF-C87745EDAEEC}">
  <dimension ref="A1"/>
  <sheetViews>
    <sheetView workbookViewId="0"/>
  </sheetViews>
  <sheetFormatPr defaultRowHeight="1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P46"/>
  <sheetViews>
    <sheetView tabSelected="1" workbookViewId="0">
      <selection activeCell="F18" sqref="F18"/>
    </sheetView>
  </sheetViews>
  <sheetFormatPr defaultColWidth="14.42578125" defaultRowHeight="15" customHeight="1"/>
  <cols>
    <col min="1" max="1" width="37.5703125" customWidth="1"/>
    <col min="2" max="2" width="14.42578125" customWidth="1"/>
    <col min="3" max="3" width="8.28515625" customWidth="1"/>
    <col min="4" max="4" width="6.5703125" customWidth="1"/>
    <col min="5" max="5" width="15.28515625" customWidth="1"/>
    <col min="6" max="6" width="16" customWidth="1"/>
    <col min="7" max="16" width="8.7109375" customWidth="1"/>
  </cols>
  <sheetData>
    <row r="1" spans="1:16" ht="23.25">
      <c r="A1" s="1005" t="s">
        <v>45</v>
      </c>
      <c r="B1" s="976"/>
      <c r="C1" s="976"/>
      <c r="D1" s="976"/>
      <c r="E1" s="976"/>
      <c r="F1" s="976"/>
      <c r="G1" s="976"/>
      <c r="H1" s="976"/>
      <c r="I1" s="976"/>
      <c r="J1" s="976"/>
      <c r="K1" s="976"/>
      <c r="L1" s="976"/>
      <c r="M1" s="976"/>
      <c r="N1" s="976"/>
      <c r="O1" s="976"/>
      <c r="P1" s="976"/>
    </row>
    <row r="2" spans="1:16">
      <c r="A2" s="1006"/>
      <c r="B2" s="976"/>
      <c r="C2" s="976"/>
      <c r="D2" s="976"/>
      <c r="E2" s="976"/>
      <c r="F2" s="976"/>
      <c r="G2" s="976"/>
      <c r="H2" s="976"/>
      <c r="I2" s="976"/>
      <c r="J2" s="976"/>
      <c r="K2" s="976"/>
      <c r="L2" s="976"/>
      <c r="M2" s="976"/>
      <c r="N2" s="976"/>
      <c r="O2" s="976"/>
      <c r="P2" s="976"/>
    </row>
    <row r="3" spans="1:16" ht="18">
      <c r="A3" s="1007" t="s">
        <v>46</v>
      </c>
      <c r="B3" s="976"/>
      <c r="C3" s="976"/>
      <c r="D3" s="976"/>
      <c r="E3" s="976"/>
      <c r="F3" s="976"/>
      <c r="G3" s="976"/>
      <c r="H3" s="976"/>
      <c r="I3" s="976"/>
      <c r="J3" s="976"/>
      <c r="K3" s="976"/>
      <c r="L3" s="976"/>
      <c r="M3" s="976"/>
      <c r="N3" s="976"/>
      <c r="O3" s="976"/>
      <c r="P3" s="976"/>
    </row>
    <row r="4" spans="1:16" ht="23.25">
      <c r="A4" s="1005" t="s">
        <v>47</v>
      </c>
      <c r="B4" s="976"/>
      <c r="C4" s="976"/>
      <c r="D4" s="976"/>
      <c r="E4" s="976"/>
      <c r="F4" s="976"/>
      <c r="G4" s="976"/>
      <c r="H4" s="976"/>
      <c r="I4" s="976"/>
      <c r="J4" s="976"/>
      <c r="K4" s="976"/>
      <c r="L4" s="976"/>
      <c r="M4" s="976"/>
      <c r="N4" s="976"/>
      <c r="O4" s="976"/>
      <c r="P4" s="976"/>
    </row>
    <row r="5" spans="1:16" ht="15" customHeight="1">
      <c r="A5" s="1016"/>
      <c r="B5" s="1017"/>
      <c r="C5" s="1017"/>
      <c r="D5" s="1017"/>
      <c r="E5" s="1017"/>
      <c r="F5" s="1017"/>
      <c r="G5" s="1009"/>
      <c r="H5" s="1008"/>
      <c r="I5" s="1008"/>
      <c r="J5" s="1010"/>
      <c r="K5" s="1011"/>
      <c r="L5" s="1012"/>
      <c r="M5" s="1013"/>
      <c r="N5" s="1014"/>
      <c r="O5" s="1008"/>
      <c r="P5" s="1008"/>
    </row>
    <row r="6" spans="1:16" ht="18">
      <c r="A6" s="1021"/>
      <c r="B6" s="1022"/>
      <c r="C6" s="1022"/>
      <c r="D6" s="1022"/>
      <c r="E6" s="1022"/>
      <c r="F6" s="1023"/>
      <c r="G6" s="1015" t="s">
        <v>48</v>
      </c>
      <c r="H6" s="870"/>
      <c r="I6" s="870"/>
      <c r="J6" s="870"/>
      <c r="K6" s="871"/>
      <c r="L6" s="1004" t="s">
        <v>49</v>
      </c>
      <c r="M6" s="821"/>
      <c r="N6" s="821"/>
      <c r="O6" s="821"/>
      <c r="P6" s="821"/>
    </row>
    <row r="7" spans="1:16">
      <c r="A7" s="1018" t="s">
        <v>50</v>
      </c>
      <c r="B7" s="969" t="s">
        <v>51</v>
      </c>
      <c r="C7" s="1019"/>
      <c r="D7" s="1020" t="s">
        <v>52</v>
      </c>
      <c r="E7" s="969" t="s">
        <v>53</v>
      </c>
      <c r="F7" s="1019"/>
      <c r="G7" s="867" t="s">
        <v>54</v>
      </c>
      <c r="H7" s="858"/>
      <c r="I7" s="861" t="s">
        <v>55</v>
      </c>
      <c r="J7" s="856"/>
      <c r="K7" s="858"/>
      <c r="L7" s="857" t="s">
        <v>54</v>
      </c>
      <c r="M7" s="858"/>
      <c r="N7" s="857" t="s">
        <v>55</v>
      </c>
      <c r="O7" s="856"/>
      <c r="P7" s="858"/>
    </row>
    <row r="8" spans="1:16">
      <c r="A8" s="59" t="s">
        <v>56</v>
      </c>
      <c r="B8" s="859">
        <v>29000</v>
      </c>
      <c r="C8" s="860"/>
      <c r="D8" s="59" t="s">
        <v>57</v>
      </c>
      <c r="E8" s="868"/>
      <c r="F8" s="865"/>
      <c r="G8" s="869"/>
      <c r="H8" s="865"/>
      <c r="I8" s="862">
        <f>G8*B8</f>
        <v>0</v>
      </c>
      <c r="J8" s="863"/>
      <c r="K8" s="860"/>
      <c r="L8" s="864"/>
      <c r="M8" s="865"/>
      <c r="N8" s="866">
        <f t="shared" ref="N8:N11" si="0">L8*B8</f>
        <v>0</v>
      </c>
      <c r="O8" s="863"/>
      <c r="P8" s="860"/>
    </row>
    <row r="9" spans="1:16">
      <c r="A9" s="805" t="s">
        <v>58</v>
      </c>
      <c r="B9" s="859">
        <v>6000</v>
      </c>
      <c r="C9" s="860"/>
      <c r="D9" s="59" t="s">
        <v>57</v>
      </c>
      <c r="E9" s="868"/>
      <c r="F9" s="865"/>
      <c r="G9" s="864"/>
      <c r="H9" s="865"/>
      <c r="I9" s="862">
        <f t="shared" ref="I9:I13" si="1">G9*B9</f>
        <v>0</v>
      </c>
      <c r="J9" s="863"/>
      <c r="K9" s="860"/>
      <c r="L9" s="864"/>
      <c r="M9" s="865"/>
      <c r="N9" s="866">
        <f t="shared" si="0"/>
        <v>0</v>
      </c>
      <c r="O9" s="863"/>
      <c r="P9" s="860"/>
    </row>
    <row r="10" spans="1:16">
      <c r="A10" s="805" t="s">
        <v>1968</v>
      </c>
      <c r="B10" s="859">
        <v>175000</v>
      </c>
      <c r="C10" s="860"/>
      <c r="D10" s="59" t="s">
        <v>57</v>
      </c>
      <c r="E10" s="868"/>
      <c r="F10" s="865"/>
      <c r="G10" s="864"/>
      <c r="H10" s="865"/>
      <c r="I10" s="862">
        <f t="shared" si="1"/>
        <v>0</v>
      </c>
      <c r="J10" s="863"/>
      <c r="K10" s="860"/>
      <c r="L10" s="864"/>
      <c r="M10" s="865"/>
      <c r="N10" s="866">
        <f t="shared" si="0"/>
        <v>0</v>
      </c>
      <c r="O10" s="863"/>
      <c r="P10" s="860"/>
    </row>
    <row r="11" spans="1:16">
      <c r="A11" s="805" t="s">
        <v>1969</v>
      </c>
      <c r="B11" s="859">
        <v>20000</v>
      </c>
      <c r="C11" s="860"/>
      <c r="D11" s="59" t="s">
        <v>57</v>
      </c>
      <c r="E11" s="868"/>
      <c r="F11" s="865"/>
      <c r="G11" s="864"/>
      <c r="H11" s="865"/>
      <c r="I11" s="862">
        <f t="shared" si="1"/>
        <v>0</v>
      </c>
      <c r="J11" s="863"/>
      <c r="K11" s="860"/>
      <c r="L11" s="864"/>
      <c r="M11" s="865"/>
      <c r="N11" s="866">
        <f t="shared" si="0"/>
        <v>0</v>
      </c>
      <c r="O11" s="863"/>
      <c r="P11" s="860"/>
    </row>
    <row r="12" spans="1:16">
      <c r="A12" s="58" t="s">
        <v>59</v>
      </c>
      <c r="B12" s="872">
        <v>180</v>
      </c>
      <c r="C12" s="860"/>
      <c r="D12" s="59" t="s">
        <v>60</v>
      </c>
      <c r="E12" s="873"/>
      <c r="F12" s="865"/>
      <c r="G12" s="864"/>
      <c r="H12" s="865"/>
      <c r="I12" s="862">
        <f t="shared" si="1"/>
        <v>0</v>
      </c>
      <c r="J12" s="863"/>
      <c r="K12" s="860"/>
      <c r="L12" s="864"/>
      <c r="M12" s="865"/>
      <c r="N12" s="862">
        <f t="shared" ref="N12:N13" si="2">L12*H12</f>
        <v>0</v>
      </c>
      <c r="O12" s="863"/>
      <c r="P12" s="860"/>
    </row>
    <row r="13" spans="1:16" ht="30">
      <c r="A13" s="962" t="s">
        <v>61</v>
      </c>
      <c r="B13" s="963">
        <v>30</v>
      </c>
      <c r="C13" s="858"/>
      <c r="D13" s="964" t="s">
        <v>62</v>
      </c>
      <c r="E13" s="965"/>
      <c r="F13" s="966"/>
      <c r="G13" s="967"/>
      <c r="H13" s="966"/>
      <c r="I13" s="968">
        <f t="shared" si="1"/>
        <v>0</v>
      </c>
      <c r="J13" s="856"/>
      <c r="K13" s="858"/>
      <c r="L13" s="967"/>
      <c r="M13" s="966"/>
      <c r="N13" s="968">
        <f t="shared" si="2"/>
        <v>0</v>
      </c>
      <c r="O13" s="856"/>
      <c r="P13" s="858"/>
    </row>
    <row r="14" spans="1:16">
      <c r="A14" s="970"/>
      <c r="B14" s="971"/>
      <c r="C14" s="971"/>
      <c r="D14" s="970"/>
      <c r="E14" s="970"/>
      <c r="F14" s="970"/>
      <c r="G14" s="972">
        <f>SUM(I8:K13)</f>
        <v>0</v>
      </c>
      <c r="H14" s="973"/>
      <c r="I14" s="973"/>
      <c r="J14" s="973"/>
      <c r="K14" s="973"/>
      <c r="L14" s="974">
        <f>SUM(N8:P13)</f>
        <v>0</v>
      </c>
      <c r="M14" s="973"/>
      <c r="N14" s="973"/>
      <c r="O14" s="973"/>
      <c r="P14" s="973"/>
    </row>
    <row r="15" spans="1:16">
      <c r="A15" s="975" t="s">
        <v>63</v>
      </c>
      <c r="B15" s="976"/>
      <c r="C15" s="976"/>
      <c r="D15" s="976"/>
      <c r="E15" s="976"/>
      <c r="F15" s="976"/>
      <c r="G15" s="976"/>
      <c r="H15" s="976"/>
      <c r="I15" s="976"/>
      <c r="J15" s="976"/>
      <c r="K15" s="976"/>
      <c r="L15" s="976"/>
      <c r="M15" s="976"/>
      <c r="N15" s="976"/>
      <c r="O15" s="976"/>
      <c r="P15" s="976"/>
    </row>
    <row r="16" spans="1:16">
      <c r="A16" s="977" t="s">
        <v>64</v>
      </c>
      <c r="B16" s="977"/>
      <c r="C16" s="978"/>
      <c r="D16" s="978"/>
      <c r="E16" s="978"/>
      <c r="F16" s="978"/>
      <c r="G16" s="978"/>
      <c r="H16" s="978"/>
      <c r="I16" s="979"/>
      <c r="J16" s="979"/>
      <c r="K16" s="979"/>
      <c r="L16" s="979"/>
      <c r="M16" s="979"/>
      <c r="N16" s="979"/>
      <c r="O16" s="979"/>
      <c r="P16" s="979"/>
    </row>
    <row r="17" spans="1:16">
      <c r="A17" s="980" t="s">
        <v>65</v>
      </c>
      <c r="B17" s="976"/>
      <c r="C17" s="976"/>
      <c r="D17" s="976"/>
      <c r="E17" s="976"/>
      <c r="F17" s="976"/>
      <c r="G17" s="976"/>
      <c r="H17" s="976"/>
      <c r="I17" s="976"/>
      <c r="J17" s="976"/>
      <c r="K17" s="976"/>
      <c r="L17" s="976"/>
      <c r="M17" s="976"/>
      <c r="N17" s="976"/>
      <c r="O17" s="976"/>
      <c r="P17" s="976"/>
    </row>
    <row r="18" spans="1:16">
      <c r="A18" s="977" t="s">
        <v>66</v>
      </c>
      <c r="B18" s="981"/>
      <c r="C18" s="981"/>
      <c r="D18" s="981"/>
      <c r="E18" s="981"/>
      <c r="F18" s="981"/>
      <c r="G18" s="981"/>
      <c r="H18" s="981"/>
      <c r="I18" s="981"/>
      <c r="J18" s="981"/>
      <c r="K18" s="981"/>
      <c r="L18" s="981"/>
      <c r="M18" s="981"/>
      <c r="N18" s="981"/>
      <c r="O18" s="981"/>
      <c r="P18" s="981"/>
    </row>
    <row r="19" spans="1:16">
      <c r="A19" s="982" t="s">
        <v>67</v>
      </c>
      <c r="B19" s="976"/>
      <c r="C19" s="976"/>
      <c r="D19" s="976"/>
      <c r="E19" s="976"/>
      <c r="F19" s="976"/>
      <c r="G19" s="976"/>
      <c r="H19" s="976"/>
      <c r="I19" s="976"/>
      <c r="J19" s="976"/>
      <c r="K19" s="981"/>
      <c r="L19" s="981"/>
      <c r="M19" s="981"/>
      <c r="N19" s="981"/>
      <c r="O19" s="981"/>
      <c r="P19" s="981"/>
    </row>
    <row r="20" spans="1:16">
      <c r="A20" s="983" t="s">
        <v>68</v>
      </c>
      <c r="B20" s="976"/>
      <c r="C20" s="976"/>
      <c r="D20" s="976"/>
      <c r="E20" s="976"/>
      <c r="F20" s="976"/>
      <c r="G20" s="976"/>
      <c r="H20" s="976"/>
      <c r="I20" s="976"/>
      <c r="J20" s="976"/>
      <c r="K20" s="976"/>
      <c r="L20" s="976"/>
      <c r="M20" s="976"/>
      <c r="N20" s="976"/>
      <c r="O20" s="976"/>
      <c r="P20" s="976"/>
    </row>
    <row r="21" spans="1:16">
      <c r="A21" s="984" t="s">
        <v>69</v>
      </c>
      <c r="B21" s="976"/>
      <c r="C21" s="976"/>
      <c r="D21" s="976"/>
      <c r="E21" s="976"/>
      <c r="F21" s="976"/>
      <c r="G21" s="976"/>
      <c r="H21" s="976"/>
      <c r="I21" s="976"/>
      <c r="J21" s="976"/>
      <c r="K21" s="976"/>
      <c r="L21" s="976"/>
      <c r="M21" s="976"/>
      <c r="N21" s="976"/>
      <c r="O21" s="976"/>
      <c r="P21" s="976"/>
    </row>
    <row r="22" spans="1:16">
      <c r="A22" s="981"/>
      <c r="B22" s="981"/>
      <c r="C22" s="981"/>
      <c r="D22" s="981"/>
      <c r="E22" s="981"/>
      <c r="F22" s="981"/>
      <c r="G22" s="981"/>
      <c r="H22" s="981"/>
      <c r="I22" s="981"/>
      <c r="J22" s="981"/>
      <c r="K22" s="981"/>
      <c r="L22" s="981"/>
      <c r="M22" s="981"/>
      <c r="N22" s="981"/>
      <c r="O22" s="981"/>
      <c r="P22" s="981"/>
    </row>
    <row r="23" spans="1:16">
      <c r="A23" s="985" t="s">
        <v>70</v>
      </c>
      <c r="B23" s="976"/>
      <c r="C23" s="976"/>
      <c r="D23" s="976"/>
      <c r="E23" s="976"/>
      <c r="F23" s="976"/>
      <c r="G23" s="976"/>
      <c r="H23" s="976"/>
      <c r="I23" s="976"/>
      <c r="J23" s="976"/>
      <c r="K23" s="976"/>
      <c r="L23" s="976"/>
      <c r="M23" s="976"/>
      <c r="N23" s="976"/>
      <c r="O23" s="976"/>
      <c r="P23" s="976"/>
    </row>
    <row r="24" spans="1:16">
      <c r="A24" s="985" t="s">
        <v>71</v>
      </c>
      <c r="B24" s="976"/>
      <c r="C24" s="976"/>
      <c r="D24" s="976"/>
      <c r="E24" s="976"/>
      <c r="F24" s="976"/>
      <c r="G24" s="976"/>
      <c r="H24" s="976"/>
      <c r="I24" s="976"/>
      <c r="J24" s="976"/>
      <c r="K24" s="976"/>
      <c r="L24" s="976"/>
      <c r="M24" s="976"/>
      <c r="N24" s="976"/>
      <c r="O24" s="976"/>
      <c r="P24" s="976"/>
    </row>
    <row r="25" spans="1:16">
      <c r="A25" s="975" t="s">
        <v>72</v>
      </c>
      <c r="B25" s="976"/>
      <c r="C25" s="976"/>
      <c r="D25" s="976"/>
      <c r="E25" s="976"/>
      <c r="F25" s="976"/>
      <c r="G25" s="976"/>
      <c r="H25" s="976"/>
      <c r="I25" s="976"/>
      <c r="J25" s="976"/>
      <c r="K25" s="976"/>
      <c r="L25" s="976"/>
      <c r="M25" s="976"/>
      <c r="N25" s="976"/>
      <c r="O25" s="976"/>
      <c r="P25" s="976"/>
    </row>
    <row r="26" spans="1:16">
      <c r="A26" s="985" t="s">
        <v>73</v>
      </c>
      <c r="B26" s="976"/>
      <c r="C26" s="976"/>
      <c r="D26" s="976"/>
      <c r="E26" s="976"/>
      <c r="F26" s="976"/>
      <c r="G26" s="976"/>
      <c r="H26" s="976"/>
      <c r="I26" s="976"/>
      <c r="J26" s="976"/>
      <c r="K26" s="976"/>
      <c r="L26" s="976"/>
      <c r="M26" s="976"/>
      <c r="N26" s="976"/>
      <c r="O26" s="976"/>
      <c r="P26" s="976"/>
    </row>
    <row r="27" spans="1:16">
      <c r="A27" s="986" t="s">
        <v>74</v>
      </c>
      <c r="B27" s="976"/>
      <c r="C27" s="976"/>
      <c r="D27" s="976"/>
      <c r="E27" s="976"/>
      <c r="F27" s="976"/>
      <c r="G27" s="976"/>
      <c r="H27" s="976"/>
      <c r="I27" s="976"/>
      <c r="J27" s="976"/>
      <c r="K27" s="976"/>
      <c r="L27" s="976"/>
      <c r="M27" s="976"/>
      <c r="N27" s="976"/>
      <c r="O27" s="976"/>
      <c r="P27" s="976"/>
    </row>
    <row r="28" spans="1:16">
      <c r="A28" s="986" t="s">
        <v>75</v>
      </c>
      <c r="B28" s="976"/>
      <c r="C28" s="976"/>
      <c r="D28" s="976"/>
      <c r="E28" s="976"/>
      <c r="F28" s="976"/>
      <c r="G28" s="976"/>
      <c r="H28" s="976"/>
      <c r="I28" s="976"/>
      <c r="J28" s="976"/>
      <c r="K28" s="976"/>
      <c r="L28" s="976"/>
      <c r="M28" s="976"/>
      <c r="N28" s="976"/>
      <c r="O28" s="976"/>
      <c r="P28" s="976"/>
    </row>
    <row r="29" spans="1:16">
      <c r="A29" s="982" t="s">
        <v>76</v>
      </c>
      <c r="B29" s="976"/>
      <c r="C29" s="976"/>
      <c r="D29" s="976"/>
      <c r="E29" s="976"/>
      <c r="F29" s="976"/>
      <c r="G29" s="976"/>
      <c r="H29" s="976"/>
      <c r="I29" s="976"/>
      <c r="J29" s="976"/>
      <c r="K29" s="976"/>
      <c r="L29" s="976"/>
      <c r="M29" s="976"/>
      <c r="N29" s="976"/>
      <c r="O29" s="976"/>
      <c r="P29" s="976"/>
    </row>
    <row r="30" spans="1:16">
      <c r="A30" s="979"/>
      <c r="B30" s="979"/>
      <c r="C30" s="987" t="s">
        <v>77</v>
      </c>
      <c r="D30" s="976"/>
      <c r="E30" s="976"/>
      <c r="F30" s="976"/>
      <c r="G30" s="976"/>
      <c r="H30" s="976"/>
      <c r="I30" s="976"/>
      <c r="J30" s="976"/>
      <c r="K30" s="976"/>
      <c r="L30" s="976"/>
      <c r="M30" s="976"/>
      <c r="N30" s="976"/>
      <c r="O30" s="976"/>
      <c r="P30" s="976"/>
    </row>
    <row r="31" spans="1:16">
      <c r="A31" s="979"/>
      <c r="B31" s="979"/>
      <c r="C31" s="988" t="s">
        <v>78</v>
      </c>
      <c r="D31" s="976"/>
      <c r="E31" s="976"/>
      <c r="F31" s="976"/>
      <c r="G31" s="976"/>
      <c r="H31" s="976"/>
      <c r="I31" s="976"/>
      <c r="J31" s="976"/>
      <c r="K31" s="976"/>
      <c r="L31" s="976"/>
      <c r="M31" s="976"/>
      <c r="N31" s="976"/>
      <c r="O31" s="976"/>
      <c r="P31" s="976"/>
    </row>
    <row r="32" spans="1:16">
      <c r="A32" s="979"/>
      <c r="B32" s="979"/>
      <c r="C32" s="988" t="s">
        <v>79</v>
      </c>
      <c r="D32" s="976"/>
      <c r="E32" s="976"/>
      <c r="F32" s="976"/>
      <c r="G32" s="976"/>
      <c r="H32" s="976"/>
      <c r="I32" s="976"/>
      <c r="J32" s="976"/>
      <c r="K32" s="976"/>
      <c r="L32" s="976"/>
      <c r="M32" s="976"/>
      <c r="N32" s="976"/>
      <c r="O32" s="976"/>
      <c r="P32" s="976"/>
    </row>
    <row r="33" spans="1:16">
      <c r="A33" s="979"/>
      <c r="B33" s="979"/>
      <c r="C33" s="988" t="s">
        <v>80</v>
      </c>
      <c r="D33" s="976"/>
      <c r="E33" s="976"/>
      <c r="F33" s="976"/>
      <c r="G33" s="976"/>
      <c r="H33" s="976"/>
      <c r="I33" s="976"/>
      <c r="J33" s="976"/>
      <c r="K33" s="976"/>
      <c r="L33" s="976"/>
      <c r="M33" s="976"/>
      <c r="N33" s="976"/>
      <c r="O33" s="976"/>
      <c r="P33" s="976"/>
    </row>
    <row r="34" spans="1:16">
      <c r="A34" s="981"/>
      <c r="B34" s="981"/>
      <c r="C34" s="981"/>
      <c r="D34" s="981"/>
      <c r="E34" s="981"/>
      <c r="F34" s="981"/>
      <c r="G34" s="981"/>
      <c r="H34" s="981"/>
      <c r="I34" s="981"/>
      <c r="J34" s="981"/>
      <c r="K34" s="981"/>
      <c r="L34" s="981"/>
      <c r="M34" s="981"/>
      <c r="N34" s="981"/>
      <c r="O34" s="981"/>
      <c r="P34" s="981"/>
    </row>
    <row r="35" spans="1:16">
      <c r="A35" s="979"/>
      <c r="B35" s="979"/>
      <c r="C35" s="979"/>
      <c r="D35" s="979"/>
      <c r="E35" s="979"/>
      <c r="F35" s="979"/>
      <c r="G35" s="979"/>
      <c r="H35" s="979"/>
      <c r="I35" s="979"/>
      <c r="J35" s="979"/>
      <c r="K35" s="979"/>
      <c r="L35" s="979"/>
      <c r="M35" s="979"/>
      <c r="N35" s="981"/>
      <c r="O35" s="981"/>
      <c r="P35" s="981"/>
    </row>
    <row r="36" spans="1:16" ht="26.1" customHeight="1">
      <c r="A36" s="853"/>
      <c r="B36" s="854"/>
      <c r="C36" s="854"/>
      <c r="D36" s="854"/>
      <c r="E36" s="854"/>
      <c r="F36" s="854"/>
      <c r="G36" s="854"/>
      <c r="H36" s="854"/>
      <c r="I36" s="854"/>
      <c r="J36" s="854"/>
      <c r="K36" s="854"/>
      <c r="L36" s="854"/>
      <c r="M36" s="854"/>
      <c r="N36" s="854"/>
      <c r="O36" s="854"/>
      <c r="P36" s="854"/>
    </row>
    <row r="37" spans="1:16">
      <c r="A37" s="855" t="s">
        <v>81</v>
      </c>
      <c r="B37" s="856"/>
      <c r="C37" s="856"/>
      <c r="D37" s="856"/>
      <c r="E37" s="856"/>
      <c r="F37" s="856"/>
      <c r="G37" s="856"/>
      <c r="H37" s="856"/>
      <c r="I37" s="856"/>
      <c r="J37" s="856"/>
      <c r="K37" s="856"/>
      <c r="L37" s="856"/>
      <c r="M37" s="856"/>
      <c r="N37" s="856"/>
      <c r="O37" s="856"/>
      <c r="P37" s="856"/>
    </row>
    <row r="38" spans="1:16" ht="26.1" customHeight="1">
      <c r="A38" s="999"/>
      <c r="B38" s="1000"/>
      <c r="C38" s="1000"/>
      <c r="D38" s="1000"/>
      <c r="E38" s="998"/>
      <c r="F38" s="1000"/>
      <c r="G38" s="998"/>
      <c r="H38" s="1000"/>
      <c r="I38" s="1000"/>
      <c r="J38" s="1000"/>
      <c r="K38" s="998"/>
      <c r="L38" s="998"/>
      <c r="M38" s="998"/>
      <c r="N38" s="1000"/>
      <c r="O38" s="1000"/>
      <c r="P38" s="1001"/>
    </row>
    <row r="39" spans="1:16">
      <c r="A39" s="989" t="s">
        <v>82</v>
      </c>
      <c r="B39" s="990"/>
      <c r="C39" s="993"/>
      <c r="D39" s="1003"/>
      <c r="E39" s="1002"/>
      <c r="F39" s="992" t="s">
        <v>83</v>
      </c>
      <c r="G39" s="979"/>
      <c r="H39" s="991" t="s">
        <v>84</v>
      </c>
      <c r="I39" s="990"/>
      <c r="J39" s="990"/>
      <c r="K39" s="995"/>
      <c r="L39" s="995"/>
      <c r="M39" s="995"/>
      <c r="N39" s="991" t="s">
        <v>85</v>
      </c>
      <c r="O39" s="990"/>
      <c r="P39" s="990"/>
    </row>
    <row r="40" spans="1:16" ht="26.1" customHeight="1">
      <c r="A40" s="996"/>
      <c r="B40" s="997"/>
      <c r="C40" s="997"/>
      <c r="D40" s="997"/>
      <c r="E40" s="994"/>
      <c r="F40" s="979"/>
      <c r="G40" s="979"/>
      <c r="H40" s="996"/>
      <c r="I40" s="997"/>
      <c r="J40" s="997"/>
      <c r="K40" s="997"/>
      <c r="L40" s="997"/>
      <c r="M40" s="997"/>
      <c r="N40" s="997"/>
      <c r="O40" s="997"/>
      <c r="P40" s="997"/>
    </row>
    <row r="41" spans="1:16">
      <c r="A41" s="993" t="s">
        <v>86</v>
      </c>
      <c r="B41" s="992"/>
      <c r="C41" s="993"/>
      <c r="D41" s="992"/>
      <c r="E41" s="979"/>
      <c r="F41" s="979"/>
      <c r="G41" s="979"/>
      <c r="H41" s="989" t="s">
        <v>87</v>
      </c>
      <c r="I41" s="990"/>
      <c r="J41" s="990"/>
      <c r="K41" s="993"/>
      <c r="L41" s="993"/>
      <c r="M41" s="993"/>
      <c r="N41" s="992"/>
      <c r="O41" s="992"/>
      <c r="P41" s="992"/>
    </row>
    <row r="42" spans="1:16" ht="26.1" customHeight="1">
      <c r="A42" s="996"/>
      <c r="B42" s="997"/>
      <c r="C42" s="997"/>
      <c r="D42" s="997"/>
      <c r="E42" s="994"/>
      <c r="F42" s="979"/>
      <c r="G42" s="979"/>
      <c r="H42" s="996"/>
      <c r="I42" s="997"/>
      <c r="J42" s="997"/>
      <c r="K42" s="997"/>
      <c r="L42" s="997"/>
      <c r="M42" s="997"/>
      <c r="N42" s="997"/>
      <c r="O42" s="997"/>
      <c r="P42" s="997"/>
    </row>
    <row r="43" spans="1:16">
      <c r="A43" s="993" t="s">
        <v>88</v>
      </c>
      <c r="B43" s="992"/>
      <c r="C43" s="992"/>
      <c r="D43" s="992"/>
      <c r="E43" s="979"/>
      <c r="F43" s="979"/>
      <c r="G43" s="979"/>
      <c r="H43" s="989" t="s">
        <v>89</v>
      </c>
      <c r="I43" s="990"/>
      <c r="J43" s="993"/>
      <c r="K43" s="993"/>
      <c r="L43" s="993"/>
      <c r="M43" s="993"/>
      <c r="N43" s="992"/>
      <c r="O43" s="992"/>
      <c r="P43" s="992"/>
    </row>
    <row r="44" spans="1:16" ht="26.1" customHeight="1">
      <c r="A44" s="996"/>
      <c r="B44" s="997"/>
      <c r="C44" s="997"/>
      <c r="D44" s="997"/>
      <c r="E44" s="994"/>
      <c r="F44" s="979"/>
      <c r="G44" s="979"/>
      <c r="H44" s="996"/>
      <c r="I44" s="997"/>
      <c r="J44" s="997"/>
      <c r="K44" s="997"/>
      <c r="L44" s="997"/>
      <c r="M44" s="997"/>
      <c r="N44" s="997"/>
      <c r="O44" s="997"/>
      <c r="P44" s="997"/>
    </row>
    <row r="45" spans="1:16">
      <c r="A45" s="993" t="s">
        <v>90</v>
      </c>
      <c r="B45" s="992"/>
      <c r="C45" s="992"/>
      <c r="D45" s="992"/>
      <c r="E45" s="979"/>
      <c r="F45" s="979"/>
      <c r="G45" s="979"/>
      <c r="H45" s="993" t="s">
        <v>91</v>
      </c>
      <c r="I45" s="993"/>
      <c r="J45" s="993"/>
      <c r="K45" s="993"/>
      <c r="L45" s="993"/>
      <c r="M45" s="993"/>
      <c r="N45" s="992"/>
      <c r="O45" s="992"/>
      <c r="P45" s="992"/>
    </row>
    <row r="46" spans="1:16">
      <c r="A46" s="851" t="s">
        <v>92</v>
      </c>
      <c r="B46" s="852"/>
      <c r="C46" s="852"/>
      <c r="D46" s="852"/>
      <c r="E46" s="852"/>
      <c r="F46" s="852"/>
      <c r="G46" s="852"/>
      <c r="H46" s="852"/>
      <c r="I46" s="852"/>
      <c r="J46" s="852"/>
      <c r="K46" s="852"/>
      <c r="L46" s="852"/>
      <c r="M46" s="852"/>
      <c r="N46" s="852"/>
      <c r="O46" s="852"/>
      <c r="P46" s="852"/>
    </row>
  </sheetData>
  <sheetProtection selectLockedCells="1"/>
  <mergeCells count="82">
    <mergeCell ref="L14:P14"/>
    <mergeCell ref="B11:C11"/>
    <mergeCell ref="E11:F11"/>
    <mergeCell ref="G11:H11"/>
    <mergeCell ref="I11:K11"/>
    <mergeCell ref="L11:M11"/>
    <mergeCell ref="N11:P11"/>
    <mergeCell ref="B12:C12"/>
    <mergeCell ref="N12:P12"/>
    <mergeCell ref="E12:F12"/>
    <mergeCell ref="G12:H12"/>
    <mergeCell ref="B13:C13"/>
    <mergeCell ref="E13:F13"/>
    <mergeCell ref="G13:H13"/>
    <mergeCell ref="B14:C14"/>
    <mergeCell ref="G14:K14"/>
    <mergeCell ref="I12:K12"/>
    <mergeCell ref="L12:M12"/>
    <mergeCell ref="I13:K13"/>
    <mergeCell ref="L13:M13"/>
    <mergeCell ref="N13:P13"/>
    <mergeCell ref="N10:P10"/>
    <mergeCell ref="E7:F7"/>
    <mergeCell ref="G7:H7"/>
    <mergeCell ref="B8:C8"/>
    <mergeCell ref="E8:F8"/>
    <mergeCell ref="G8:H8"/>
    <mergeCell ref="E9:F9"/>
    <mergeCell ref="G9:H9"/>
    <mergeCell ref="B10:C10"/>
    <mergeCell ref="E10:F10"/>
    <mergeCell ref="G10:H10"/>
    <mergeCell ref="I10:K10"/>
    <mergeCell ref="L10:M10"/>
    <mergeCell ref="I9:K9"/>
    <mergeCell ref="L9:M9"/>
    <mergeCell ref="N9:P9"/>
    <mergeCell ref="A1:P1"/>
    <mergeCell ref="A2:P2"/>
    <mergeCell ref="A3:P3"/>
    <mergeCell ref="A4:P4"/>
    <mergeCell ref="G6:K6"/>
    <mergeCell ref="L6:P6"/>
    <mergeCell ref="B7:C7"/>
    <mergeCell ref="N7:P7"/>
    <mergeCell ref="B9:C9"/>
    <mergeCell ref="I7:K7"/>
    <mergeCell ref="L7:M7"/>
    <mergeCell ref="I8:K8"/>
    <mergeCell ref="L8:M8"/>
    <mergeCell ref="N8:P8"/>
    <mergeCell ref="A42:E42"/>
    <mergeCell ref="A44:E44"/>
    <mergeCell ref="H44:P44"/>
    <mergeCell ref="A46:P46"/>
    <mergeCell ref="H39:J39"/>
    <mergeCell ref="A40:E40"/>
    <mergeCell ref="H40:P40"/>
    <mergeCell ref="H41:J41"/>
    <mergeCell ref="H42:P42"/>
    <mergeCell ref="H43:I43"/>
    <mergeCell ref="C33:P33"/>
    <mergeCell ref="A36:P36"/>
    <mergeCell ref="A37:P37"/>
    <mergeCell ref="A38:P38"/>
    <mergeCell ref="A39:B39"/>
    <mergeCell ref="N39:P39"/>
    <mergeCell ref="A28:P28"/>
    <mergeCell ref="A29:P29"/>
    <mergeCell ref="C30:P30"/>
    <mergeCell ref="C31:P31"/>
    <mergeCell ref="C32:P32"/>
    <mergeCell ref="A23:P23"/>
    <mergeCell ref="A24:P24"/>
    <mergeCell ref="A25:P25"/>
    <mergeCell ref="A26:P26"/>
    <mergeCell ref="A27:P27"/>
    <mergeCell ref="A15:P15"/>
    <mergeCell ref="A17:P17"/>
    <mergeCell ref="A19:J19"/>
    <mergeCell ref="A20:P20"/>
    <mergeCell ref="A21:P21"/>
  </mergeCells>
  <printOptions horizontalCentered="1" gridLines="1"/>
  <pageMargins left="0.7" right="0.7" top="0.75" bottom="0.75" header="0" footer="0"/>
  <pageSetup scale="65" fitToHeight="0" pageOrder="overThenDown"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M44"/>
  <sheetViews>
    <sheetView topLeftCell="A13" workbookViewId="0">
      <selection activeCell="E38" sqref="E38:M38"/>
    </sheetView>
  </sheetViews>
  <sheetFormatPr defaultColWidth="14.42578125" defaultRowHeight="15" customHeight="1"/>
  <cols>
    <col min="1" max="1" width="2.28515625" customWidth="1"/>
    <col min="2" max="2" width="14.140625" customWidth="1"/>
    <col min="3" max="3" width="50.5703125" customWidth="1"/>
    <col min="4" max="4" width="7.140625" customWidth="1"/>
    <col min="5" max="5" width="9.140625" customWidth="1"/>
    <col min="6" max="6" width="8.28515625" customWidth="1"/>
    <col min="7" max="7" width="11.28515625" customWidth="1"/>
    <col min="8" max="8" width="7" customWidth="1"/>
    <col min="9" max="9" width="6.140625" customWidth="1"/>
    <col min="10" max="10" width="14.42578125" hidden="1" customWidth="1"/>
    <col min="11" max="11" width="7" customWidth="1"/>
    <col min="12" max="12" width="9.140625" customWidth="1"/>
    <col min="13" max="13" width="8.85546875" customWidth="1"/>
  </cols>
  <sheetData>
    <row r="1" spans="1:13" ht="35.25" thickBot="1">
      <c r="A1" s="591"/>
      <c r="B1" s="592" t="s">
        <v>93</v>
      </c>
      <c r="C1" s="593" t="s">
        <v>94</v>
      </c>
      <c r="D1" s="594" t="s">
        <v>95</v>
      </c>
      <c r="E1" s="595" t="s">
        <v>96</v>
      </c>
      <c r="F1" s="596" t="s">
        <v>97</v>
      </c>
      <c r="G1" s="592" t="s">
        <v>98</v>
      </c>
      <c r="H1" s="592" t="s">
        <v>99</v>
      </c>
      <c r="I1" s="597" t="s">
        <v>100</v>
      </c>
      <c r="J1" s="598" t="s">
        <v>101</v>
      </c>
      <c r="K1" s="599" t="s">
        <v>102</v>
      </c>
      <c r="L1" s="600" t="s">
        <v>103</v>
      </c>
      <c r="M1" s="592" t="s">
        <v>104</v>
      </c>
    </row>
    <row r="2" spans="1:13" ht="15.75" thickBot="1">
      <c r="A2" s="591"/>
      <c r="B2" s="874" t="s">
        <v>105</v>
      </c>
      <c r="C2" s="875"/>
      <c r="D2" s="875"/>
      <c r="E2" s="875"/>
      <c r="F2" s="875"/>
      <c r="G2" s="875"/>
      <c r="H2" s="875"/>
      <c r="I2" s="875"/>
      <c r="J2" s="875"/>
      <c r="K2" s="875"/>
      <c r="L2" s="875"/>
      <c r="M2" s="876"/>
    </row>
    <row r="3" spans="1:13" s="551" customFormat="1" ht="15" customHeight="1">
      <c r="A3" s="601">
        <v>1</v>
      </c>
      <c r="B3" s="890" t="s">
        <v>106</v>
      </c>
      <c r="C3" s="602" t="s">
        <v>107</v>
      </c>
      <c r="D3" s="893" t="s">
        <v>108</v>
      </c>
      <c r="E3" s="637"/>
      <c r="F3" s="638"/>
      <c r="G3" s="887" t="s">
        <v>109</v>
      </c>
      <c r="H3" s="603" t="s">
        <v>110</v>
      </c>
      <c r="I3" s="604">
        <v>20000</v>
      </c>
      <c r="J3" s="605">
        <f>(K3*8%)+K3</f>
        <v>0</v>
      </c>
      <c r="K3" s="643"/>
      <c r="L3" s="606">
        <f>K3/240</f>
        <v>0</v>
      </c>
      <c r="M3" s="607">
        <f>L3*I3</f>
        <v>0</v>
      </c>
    </row>
    <row r="4" spans="1:13" s="551" customFormat="1" ht="27" customHeight="1">
      <c r="A4" s="601"/>
      <c r="B4" s="891"/>
      <c r="C4" s="608" t="s">
        <v>111</v>
      </c>
      <c r="D4" s="894"/>
      <c r="E4" s="639"/>
      <c r="F4" s="640"/>
      <c r="G4" s="888"/>
      <c r="H4" s="609"/>
      <c r="I4" s="610"/>
      <c r="J4" s="611"/>
      <c r="K4" s="644"/>
      <c r="L4" s="612"/>
      <c r="M4" s="613"/>
    </row>
    <row r="5" spans="1:13" s="551" customFormat="1" ht="13.5" thickBot="1">
      <c r="A5" s="601"/>
      <c r="B5" s="892"/>
      <c r="C5" s="614" t="s">
        <v>112</v>
      </c>
      <c r="D5" s="895"/>
      <c r="E5" s="639"/>
      <c r="F5" s="640"/>
      <c r="G5" s="889"/>
      <c r="H5" s="609"/>
      <c r="I5" s="615"/>
      <c r="J5" s="611"/>
      <c r="K5" s="644"/>
      <c r="L5" s="612"/>
      <c r="M5" s="613"/>
    </row>
    <row r="6" spans="1:13" s="551" customFormat="1" ht="12.75">
      <c r="A6" s="601">
        <v>2</v>
      </c>
      <c r="B6" s="890" t="s">
        <v>113</v>
      </c>
      <c r="C6" s="602" t="s">
        <v>114</v>
      </c>
      <c r="D6" s="896" t="s">
        <v>115</v>
      </c>
      <c r="E6" s="637"/>
      <c r="F6" s="638"/>
      <c r="G6" s="887" t="s">
        <v>116</v>
      </c>
      <c r="H6" s="603" t="s">
        <v>117</v>
      </c>
      <c r="I6" s="602">
        <v>25000</v>
      </c>
      <c r="J6" s="605">
        <f>(K6*8%)+K6</f>
        <v>0</v>
      </c>
      <c r="K6" s="643"/>
      <c r="L6" s="606">
        <f>K6/120</f>
        <v>0</v>
      </c>
      <c r="M6" s="607">
        <f>L6*I6</f>
        <v>0</v>
      </c>
    </row>
    <row r="7" spans="1:13" s="551" customFormat="1" ht="12.75">
      <c r="A7" s="601"/>
      <c r="B7" s="891"/>
      <c r="C7" s="608" t="s">
        <v>1966</v>
      </c>
      <c r="D7" s="897"/>
      <c r="E7" s="639"/>
      <c r="F7" s="640"/>
      <c r="G7" s="888"/>
      <c r="H7" s="609"/>
      <c r="I7" s="615"/>
      <c r="J7" s="611"/>
      <c r="K7" s="644"/>
      <c r="L7" s="612"/>
      <c r="M7" s="613"/>
    </row>
    <row r="8" spans="1:13" s="551" customFormat="1" ht="15.75" customHeight="1" thickBot="1">
      <c r="A8" s="601"/>
      <c r="B8" s="892"/>
      <c r="C8" s="616" t="s">
        <v>112</v>
      </c>
      <c r="D8" s="898"/>
      <c r="E8" s="641"/>
      <c r="F8" s="642"/>
      <c r="G8" s="889"/>
      <c r="H8" s="618"/>
      <c r="I8" s="619"/>
      <c r="J8" s="620"/>
      <c r="K8" s="645"/>
      <c r="L8" s="622"/>
      <c r="M8" s="623"/>
    </row>
    <row r="9" spans="1:13" s="551" customFormat="1" ht="12.75">
      <c r="A9" s="601">
        <v>3</v>
      </c>
      <c r="B9" s="890" t="s">
        <v>118</v>
      </c>
      <c r="C9" s="602" t="s">
        <v>119</v>
      </c>
      <c r="D9" s="896" t="s">
        <v>120</v>
      </c>
      <c r="E9" s="637"/>
      <c r="F9" s="638"/>
      <c r="G9" s="887" t="s">
        <v>121</v>
      </c>
      <c r="H9" s="603" t="s">
        <v>117</v>
      </c>
      <c r="I9" s="602">
        <v>6000</v>
      </c>
      <c r="J9" s="605">
        <f>(K9*8%)+K9</f>
        <v>0</v>
      </c>
      <c r="K9" s="643"/>
      <c r="L9" s="606">
        <f>K9/144</f>
        <v>0</v>
      </c>
      <c r="M9" s="607">
        <f>L9*I9</f>
        <v>0</v>
      </c>
    </row>
    <row r="10" spans="1:13" s="551" customFormat="1" ht="12.75">
      <c r="A10" s="601"/>
      <c r="B10" s="891"/>
      <c r="C10" s="608" t="s">
        <v>1967</v>
      </c>
      <c r="D10" s="897"/>
      <c r="E10" s="639"/>
      <c r="F10" s="640"/>
      <c r="G10" s="888"/>
      <c r="H10" s="609"/>
      <c r="I10" s="615"/>
      <c r="J10" s="611"/>
      <c r="K10" s="644"/>
      <c r="L10" s="612"/>
      <c r="M10" s="613"/>
    </row>
    <row r="11" spans="1:13" s="551" customFormat="1" ht="13.5" thickBot="1">
      <c r="A11" s="601"/>
      <c r="B11" s="618"/>
      <c r="C11" s="614" t="s">
        <v>112</v>
      </c>
      <c r="D11" s="898"/>
      <c r="E11" s="641"/>
      <c r="F11" s="642"/>
      <c r="G11" s="889"/>
      <c r="H11" s="618"/>
      <c r="I11" s="619"/>
      <c r="J11" s="620"/>
      <c r="K11" s="645"/>
      <c r="L11" s="622"/>
      <c r="M11" s="623"/>
    </row>
    <row r="12" spans="1:13" s="551" customFormat="1" ht="22.5" customHeight="1">
      <c r="A12" s="601">
        <v>4</v>
      </c>
      <c r="B12" s="890" t="s">
        <v>122</v>
      </c>
      <c r="C12" s="602" t="s">
        <v>123</v>
      </c>
      <c r="D12" s="896" t="s">
        <v>124</v>
      </c>
      <c r="E12" s="637"/>
      <c r="F12" s="638"/>
      <c r="G12" s="887" t="s">
        <v>125</v>
      </c>
      <c r="H12" s="603" t="s">
        <v>117</v>
      </c>
      <c r="I12" s="602">
        <v>4000</v>
      </c>
      <c r="J12" s="605">
        <f>(K12*8%)+K12</f>
        <v>0</v>
      </c>
      <c r="K12" s="643"/>
      <c r="L12" s="606">
        <f>K12/120</f>
        <v>0</v>
      </c>
      <c r="M12" s="607">
        <f>L12*I12</f>
        <v>0</v>
      </c>
    </row>
    <row r="13" spans="1:13" s="551" customFormat="1" ht="22.5">
      <c r="A13" s="601"/>
      <c r="B13" s="891"/>
      <c r="C13" s="608" t="s">
        <v>126</v>
      </c>
      <c r="D13" s="897"/>
      <c r="E13" s="639"/>
      <c r="F13" s="640"/>
      <c r="G13" s="888"/>
      <c r="H13" s="609"/>
      <c r="I13" s="615"/>
      <c r="J13" s="611"/>
      <c r="K13" s="644"/>
      <c r="L13" s="612"/>
      <c r="M13" s="613"/>
    </row>
    <row r="14" spans="1:13" s="551" customFormat="1" ht="15.75" customHeight="1" thickBot="1">
      <c r="A14" s="601"/>
      <c r="B14" s="618"/>
      <c r="C14" s="616" t="s">
        <v>112</v>
      </c>
      <c r="D14" s="898"/>
      <c r="E14" s="641"/>
      <c r="F14" s="642"/>
      <c r="G14" s="889"/>
      <c r="H14" s="618"/>
      <c r="I14" s="619"/>
      <c r="J14" s="620"/>
      <c r="K14" s="621"/>
      <c r="L14" s="622"/>
      <c r="M14" s="623"/>
    </row>
    <row r="15" spans="1:13" s="551" customFormat="1" ht="13.5" thickBot="1">
      <c r="A15" s="601"/>
      <c r="B15" s="877" t="s">
        <v>127</v>
      </c>
      <c r="C15" s="878"/>
      <c r="D15" s="878"/>
      <c r="E15" s="878"/>
      <c r="F15" s="878"/>
      <c r="G15" s="879"/>
      <c r="H15" s="624"/>
      <c r="I15" s="624"/>
      <c r="J15" s="624"/>
      <c r="K15" s="617"/>
      <c r="L15" s="617"/>
      <c r="M15" s="617"/>
    </row>
    <row r="16" spans="1:13" s="551" customFormat="1" ht="13.5" thickBot="1">
      <c r="A16" s="601"/>
      <c r="B16" s="880" t="s">
        <v>128</v>
      </c>
      <c r="C16" s="881"/>
      <c r="D16" s="881"/>
      <c r="E16" s="881"/>
      <c r="F16" s="881"/>
      <c r="G16" s="881"/>
      <c r="H16" s="881"/>
      <c r="I16" s="881"/>
      <c r="J16" s="625"/>
      <c r="K16" s="882">
        <f>SUM(M3:M14)</f>
        <v>0</v>
      </c>
      <c r="L16" s="881"/>
      <c r="M16" s="883"/>
    </row>
    <row r="17" spans="1:13" s="551" customFormat="1" ht="17.25" customHeight="1">
      <c r="A17" s="601"/>
      <c r="B17" s="884" t="s">
        <v>129</v>
      </c>
      <c r="C17" s="884"/>
      <c r="D17" s="884"/>
      <c r="E17" s="885" t="s">
        <v>130</v>
      </c>
      <c r="F17" s="886"/>
      <c r="G17" s="886"/>
      <c r="H17" s="886"/>
      <c r="I17" s="626"/>
      <c r="J17" s="626"/>
      <c r="K17" s="626"/>
      <c r="L17" s="626"/>
      <c r="M17" s="626"/>
    </row>
    <row r="18" spans="1:13" s="551" customFormat="1" ht="12.75">
      <c r="A18" s="601"/>
      <c r="B18" s="626"/>
      <c r="C18" s="626"/>
      <c r="D18" s="626"/>
      <c r="E18" s="902" t="s">
        <v>78</v>
      </c>
      <c r="F18" s="886"/>
      <c r="G18" s="886"/>
      <c r="H18" s="627"/>
      <c r="I18" s="626"/>
      <c r="J18" s="626"/>
      <c r="K18" s="626"/>
      <c r="L18" s="626"/>
      <c r="M18" s="626"/>
    </row>
    <row r="19" spans="1:13" s="551" customFormat="1" ht="12.75">
      <c r="A19" s="601"/>
      <c r="B19" s="626"/>
      <c r="C19" s="626"/>
      <c r="D19" s="626"/>
      <c r="E19" s="902" t="s">
        <v>79</v>
      </c>
      <c r="F19" s="886"/>
      <c r="G19" s="886"/>
      <c r="H19" s="627"/>
      <c r="I19" s="626"/>
      <c r="J19" s="626"/>
      <c r="K19" s="626"/>
      <c r="L19" s="626"/>
      <c r="M19" s="626"/>
    </row>
    <row r="20" spans="1:13" s="551" customFormat="1" ht="12.75">
      <c r="A20" s="601"/>
      <c r="B20" s="626"/>
      <c r="C20" s="626"/>
      <c r="D20" s="626"/>
      <c r="E20" s="902" t="s">
        <v>80</v>
      </c>
      <c r="F20" s="886"/>
      <c r="G20" s="627"/>
      <c r="H20" s="627"/>
      <c r="I20" s="626"/>
      <c r="J20" s="626"/>
      <c r="K20" s="626"/>
      <c r="L20" s="626"/>
      <c r="M20" s="626"/>
    </row>
    <row r="21" spans="1:13" s="551" customFormat="1" ht="12.75">
      <c r="A21" s="601"/>
      <c r="B21" s="628" t="s">
        <v>64</v>
      </c>
      <c r="C21" s="628"/>
      <c r="D21" s="626"/>
      <c r="E21" s="626"/>
      <c r="F21" s="626"/>
      <c r="G21" s="626"/>
      <c r="H21" s="626"/>
      <c r="I21" s="626"/>
      <c r="J21" s="626"/>
      <c r="K21" s="626"/>
      <c r="L21" s="626"/>
      <c r="M21" s="626"/>
    </row>
    <row r="22" spans="1:13" s="551" customFormat="1" ht="12.75">
      <c r="A22" s="629"/>
      <c r="B22" s="903" t="s">
        <v>131</v>
      </c>
      <c r="C22" s="886"/>
      <c r="D22" s="886"/>
      <c r="E22" s="886"/>
      <c r="F22" s="886"/>
      <c r="G22" s="886"/>
      <c r="H22" s="886"/>
      <c r="I22" s="886"/>
      <c r="J22" s="886"/>
      <c r="K22" s="886"/>
      <c r="L22" s="886"/>
      <c r="M22" s="886"/>
    </row>
    <row r="23" spans="1:13" s="551" customFormat="1" ht="12.75">
      <c r="A23" s="629"/>
      <c r="B23" s="904" t="s">
        <v>132</v>
      </c>
      <c r="C23" s="886"/>
      <c r="D23" s="886"/>
      <c r="E23" s="886"/>
      <c r="F23" s="886"/>
      <c r="G23" s="886"/>
      <c r="H23" s="886"/>
      <c r="I23" s="886"/>
      <c r="J23" s="886"/>
      <c r="K23" s="886"/>
      <c r="L23" s="886"/>
      <c r="M23" s="886"/>
    </row>
    <row r="24" spans="1:13" s="551" customFormat="1" ht="12.75">
      <c r="A24" s="629"/>
      <c r="B24" s="630"/>
      <c r="C24" s="630"/>
      <c r="D24" s="630"/>
      <c r="E24" s="630"/>
      <c r="F24" s="630"/>
      <c r="G24" s="630"/>
      <c r="H24" s="630"/>
      <c r="I24" s="626"/>
      <c r="J24" s="626"/>
      <c r="K24" s="626"/>
      <c r="L24" s="626"/>
      <c r="M24" s="626"/>
    </row>
    <row r="25" spans="1:13" s="551" customFormat="1" ht="12.75">
      <c r="A25" s="629"/>
      <c r="B25" s="908" t="s">
        <v>133</v>
      </c>
      <c r="C25" s="886"/>
      <c r="D25" s="886"/>
      <c r="E25" s="886"/>
      <c r="F25" s="886"/>
      <c r="G25" s="886"/>
      <c r="H25" s="886"/>
      <c r="I25" s="886"/>
      <c r="J25" s="886"/>
      <c r="K25" s="886"/>
      <c r="L25" s="886"/>
      <c r="M25" s="886"/>
    </row>
    <row r="26" spans="1:13" s="551" customFormat="1" ht="7.5" customHeight="1">
      <c r="A26" s="629"/>
      <c r="B26" s="626"/>
      <c r="C26" s="626"/>
      <c r="D26" s="626"/>
      <c r="E26" s="626"/>
      <c r="F26" s="626"/>
      <c r="G26" s="626"/>
      <c r="H26" s="626"/>
      <c r="I26" s="626"/>
      <c r="J26" s="626"/>
      <c r="K26" s="626"/>
      <c r="L26" s="626"/>
      <c r="M26" s="626"/>
    </row>
    <row r="27" spans="1:13" s="551" customFormat="1" ht="7.5" customHeight="1">
      <c r="A27" s="629"/>
      <c r="B27" s="626"/>
      <c r="C27" s="626"/>
      <c r="D27" s="626"/>
      <c r="E27" s="626"/>
      <c r="F27" s="626"/>
      <c r="G27" s="626"/>
      <c r="H27" s="626"/>
      <c r="I27" s="626"/>
      <c r="J27" s="626"/>
      <c r="K27" s="626"/>
      <c r="L27" s="626"/>
      <c r="M27" s="626"/>
    </row>
    <row r="28" spans="1:13" s="551" customFormat="1" ht="12.75">
      <c r="A28" s="629"/>
      <c r="B28" s="627" t="s">
        <v>134</v>
      </c>
      <c r="C28" s="909"/>
      <c r="D28" s="910"/>
      <c r="E28" s="910"/>
      <c r="F28" s="910"/>
      <c r="G28" s="910"/>
      <c r="H28" s="910"/>
      <c r="I28" s="910"/>
      <c r="J28" s="910"/>
      <c r="K28" s="910"/>
      <c r="L28" s="910"/>
      <c r="M28" s="910"/>
    </row>
    <row r="29" spans="1:13" s="551" customFormat="1" ht="12.75">
      <c r="A29" s="629"/>
      <c r="B29" s="626"/>
      <c r="C29" s="631" t="s">
        <v>81</v>
      </c>
      <c r="D29" s="632"/>
      <c r="E29" s="632"/>
      <c r="F29" s="632"/>
      <c r="G29" s="633" t="s">
        <v>91</v>
      </c>
      <c r="H29" s="632"/>
      <c r="I29" s="626"/>
      <c r="J29" s="626"/>
      <c r="K29" s="626"/>
      <c r="L29" s="626"/>
      <c r="M29" s="626"/>
    </row>
    <row r="30" spans="1:13" s="551" customFormat="1" ht="12.75">
      <c r="A30" s="629"/>
      <c r="B30" s="626"/>
      <c r="C30" s="631"/>
      <c r="D30" s="632"/>
      <c r="E30" s="632"/>
      <c r="F30" s="632"/>
      <c r="G30" s="634"/>
      <c r="H30" s="632"/>
      <c r="I30" s="626"/>
      <c r="J30" s="626"/>
      <c r="K30" s="626"/>
      <c r="L30" s="626"/>
      <c r="M30" s="626"/>
    </row>
    <row r="31" spans="1:13" s="551" customFormat="1" ht="12.75">
      <c r="A31" s="629"/>
      <c r="B31" s="909"/>
      <c r="C31" s="910"/>
      <c r="D31" s="910"/>
      <c r="E31" s="910"/>
      <c r="F31" s="910"/>
      <c r="G31" s="910"/>
      <c r="H31" s="910"/>
      <c r="I31" s="910"/>
      <c r="J31" s="910"/>
      <c r="K31" s="910"/>
      <c r="L31" s="910"/>
      <c r="M31" s="910"/>
    </row>
    <row r="32" spans="1:13" s="551" customFormat="1" ht="12.75">
      <c r="A32" s="629"/>
      <c r="B32" s="635" t="s">
        <v>82</v>
      </c>
      <c r="C32" s="626"/>
      <c r="D32" s="635" t="s">
        <v>83</v>
      </c>
      <c r="E32" s="626"/>
      <c r="F32" s="635" t="s">
        <v>84</v>
      </c>
      <c r="G32" s="626"/>
      <c r="H32" s="635" t="s">
        <v>85</v>
      </c>
      <c r="I32" s="626"/>
      <c r="J32" s="626"/>
      <c r="K32" s="626"/>
      <c r="L32" s="626"/>
      <c r="M32" s="626"/>
    </row>
    <row r="33" spans="1:13" s="551" customFormat="1" ht="12.75">
      <c r="A33" s="629"/>
      <c r="B33" s="635"/>
      <c r="C33" s="626"/>
      <c r="D33" s="635"/>
      <c r="E33" s="626"/>
      <c r="F33" s="635"/>
      <c r="G33" s="626"/>
      <c r="H33" s="635"/>
      <c r="I33" s="626"/>
      <c r="J33" s="626"/>
      <c r="K33" s="626"/>
      <c r="L33" s="626"/>
      <c r="M33" s="626"/>
    </row>
    <row r="34" spans="1:13" s="551" customFormat="1" ht="15" customHeight="1">
      <c r="A34" s="629"/>
      <c r="B34" s="646"/>
      <c r="C34" s="647"/>
      <c r="D34" s="646"/>
      <c r="E34" s="648"/>
      <c r="F34" s="911"/>
      <c r="G34" s="910"/>
      <c r="H34" s="910"/>
      <c r="I34" s="910"/>
      <c r="J34" s="910"/>
      <c r="K34" s="910"/>
      <c r="L34" s="910"/>
      <c r="M34" s="910"/>
    </row>
    <row r="35" spans="1:13" s="551" customFormat="1" ht="12.75">
      <c r="A35" s="629"/>
      <c r="B35" s="649" t="s">
        <v>86</v>
      </c>
      <c r="C35" s="650"/>
      <c r="D35" s="649" t="s">
        <v>87</v>
      </c>
      <c r="E35" s="649"/>
      <c r="F35" s="651"/>
      <c r="G35" s="631" t="s">
        <v>89</v>
      </c>
      <c r="H35" s="632"/>
      <c r="I35" s="626"/>
      <c r="J35" s="626"/>
      <c r="K35" s="626"/>
      <c r="L35" s="626"/>
      <c r="M35" s="626"/>
    </row>
    <row r="36" spans="1:13" s="551" customFormat="1" ht="12.75">
      <c r="A36" s="629"/>
      <c r="B36" s="626"/>
      <c r="C36" s="626"/>
      <c r="D36" s="626"/>
      <c r="E36" s="626"/>
      <c r="F36" s="626"/>
      <c r="G36" s="626"/>
      <c r="H36" s="626"/>
      <c r="I36" s="626"/>
      <c r="J36" s="626"/>
      <c r="K36" s="626"/>
      <c r="L36" s="626"/>
      <c r="M36" s="626"/>
    </row>
    <row r="37" spans="1:13" s="551" customFormat="1" ht="12.75">
      <c r="A37" s="629"/>
      <c r="B37" s="626"/>
      <c r="C37" s="626"/>
      <c r="D37" s="626"/>
      <c r="E37" s="626"/>
      <c r="F37" s="626"/>
      <c r="G37" s="626"/>
      <c r="H37" s="626"/>
      <c r="I37" s="626"/>
      <c r="J37" s="626"/>
      <c r="K37" s="626"/>
      <c r="L37" s="626"/>
      <c r="M37" s="626"/>
    </row>
    <row r="38" spans="1:13" s="551" customFormat="1" ht="12.75">
      <c r="A38" s="629"/>
      <c r="B38" s="909"/>
      <c r="C38" s="910"/>
      <c r="D38" s="626"/>
      <c r="E38" s="909"/>
      <c r="F38" s="910"/>
      <c r="G38" s="910"/>
      <c r="H38" s="910"/>
      <c r="I38" s="910"/>
      <c r="J38" s="910"/>
      <c r="K38" s="910"/>
      <c r="L38" s="910"/>
      <c r="M38" s="910"/>
    </row>
    <row r="39" spans="1:13" s="551" customFormat="1" ht="12.75">
      <c r="A39" s="629"/>
      <c r="B39" s="905" t="s">
        <v>88</v>
      </c>
      <c r="C39" s="906"/>
      <c r="D39" s="626"/>
      <c r="E39" s="907" t="s">
        <v>90</v>
      </c>
      <c r="F39" s="886"/>
      <c r="G39" s="886"/>
      <c r="H39" s="886"/>
      <c r="I39" s="626"/>
      <c r="J39" s="626"/>
      <c r="K39" s="626"/>
      <c r="L39" s="626"/>
      <c r="M39" s="626"/>
    </row>
    <row r="40" spans="1:13" s="551" customFormat="1" ht="12.75">
      <c r="A40" s="629"/>
      <c r="B40" s="899" t="s">
        <v>70</v>
      </c>
      <c r="C40" s="886"/>
      <c r="D40" s="886"/>
      <c r="E40" s="886"/>
      <c r="F40" s="886"/>
      <c r="G40" s="886"/>
      <c r="H40" s="886"/>
      <c r="I40" s="886"/>
      <c r="J40" s="886"/>
      <c r="K40" s="886"/>
      <c r="L40" s="886"/>
      <c r="M40" s="886"/>
    </row>
    <row r="41" spans="1:13" s="551" customFormat="1" ht="12.75">
      <c r="A41" s="629"/>
      <c r="B41" s="899" t="s">
        <v>135</v>
      </c>
      <c r="C41" s="886"/>
      <c r="D41" s="886"/>
      <c r="E41" s="886"/>
      <c r="F41" s="886"/>
      <c r="G41" s="886"/>
      <c r="H41" s="886"/>
      <c r="I41" s="886"/>
      <c r="J41" s="886"/>
      <c r="K41" s="886"/>
      <c r="L41" s="886"/>
      <c r="M41" s="886"/>
    </row>
    <row r="42" spans="1:13" s="551" customFormat="1" ht="12.75">
      <c r="A42" s="629"/>
      <c r="B42" s="899" t="s">
        <v>136</v>
      </c>
      <c r="C42" s="886"/>
      <c r="D42" s="886"/>
      <c r="E42" s="886"/>
      <c r="F42" s="886"/>
      <c r="G42" s="886"/>
      <c r="H42" s="886"/>
      <c r="I42" s="886"/>
      <c r="J42" s="886"/>
      <c r="K42" s="886"/>
      <c r="L42" s="886"/>
      <c r="M42" s="886"/>
    </row>
    <row r="43" spans="1:13" s="550" customFormat="1">
      <c r="A43" s="636"/>
      <c r="B43" s="900" t="s">
        <v>7</v>
      </c>
      <c r="C43" s="901"/>
      <c r="D43" s="901"/>
      <c r="E43" s="901"/>
      <c r="F43" s="901"/>
      <c r="G43" s="901"/>
      <c r="H43" s="901"/>
      <c r="I43" s="901"/>
      <c r="J43" s="901"/>
      <c r="K43" s="901"/>
      <c r="L43" s="901"/>
      <c r="M43" s="901"/>
    </row>
    <row r="44" spans="1:13" s="550" customFormat="1"/>
  </sheetData>
  <sheetProtection algorithmName="SHA-512" hashValue="mT7NVnxVmZTZzL07qiaPcAyfPd0HoUVkcUAHAdiPGX7G4H3WJ2dwXRPSP4tQCyhvaaC4AYYNE0r+OacT/xTs/g==" saltValue="a7BgKkXyZyGuKIeDW+5/8Q==" spinCount="100000" sheet="1" objects="1" scenarios="1" selectLockedCells="1"/>
  <mergeCells count="35">
    <mergeCell ref="D9:D11"/>
    <mergeCell ref="D12:D14"/>
    <mergeCell ref="F34:M34"/>
    <mergeCell ref="B38:C38"/>
    <mergeCell ref="E38:M38"/>
    <mergeCell ref="B42:M42"/>
    <mergeCell ref="B43:M43"/>
    <mergeCell ref="E18:G18"/>
    <mergeCell ref="E19:G19"/>
    <mergeCell ref="E20:F20"/>
    <mergeCell ref="B22:M22"/>
    <mergeCell ref="B23:M23"/>
    <mergeCell ref="B39:C39"/>
    <mergeCell ref="E39:H39"/>
    <mergeCell ref="B40:M40"/>
    <mergeCell ref="B41:M41"/>
    <mergeCell ref="B25:M25"/>
    <mergeCell ref="C28:M28"/>
    <mergeCell ref="B31:M31"/>
    <mergeCell ref="B2:M2"/>
    <mergeCell ref="B15:G15"/>
    <mergeCell ref="B16:I16"/>
    <mergeCell ref="K16:M16"/>
    <mergeCell ref="B17:D17"/>
    <mergeCell ref="E17:H17"/>
    <mergeCell ref="G3:G5"/>
    <mergeCell ref="G6:G8"/>
    <mergeCell ref="G9:G11"/>
    <mergeCell ref="G12:G14"/>
    <mergeCell ref="B3:B5"/>
    <mergeCell ref="B6:B8"/>
    <mergeCell ref="B9:B10"/>
    <mergeCell ref="B12:B13"/>
    <mergeCell ref="D3:D5"/>
    <mergeCell ref="D6:D8"/>
  </mergeCells>
  <pageMargins left="0.25" right="0.25" top="0.25" bottom="0.25" header="0.25" footer="0.25"/>
  <pageSetup scale="9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M1001"/>
  <sheetViews>
    <sheetView topLeftCell="A43" workbookViewId="0">
      <selection activeCell="K52" sqref="K52"/>
    </sheetView>
  </sheetViews>
  <sheetFormatPr defaultColWidth="14.42578125" defaultRowHeight="15" customHeight="1"/>
  <cols>
    <col min="1" max="1" width="3.5703125" customWidth="1"/>
    <col min="2" max="2" width="26.5703125" customWidth="1"/>
    <col min="3" max="3" width="45.140625" customWidth="1"/>
    <col min="4" max="4" width="8.28515625" customWidth="1"/>
    <col min="5" max="5" width="12.42578125" customWidth="1"/>
    <col min="6" max="6" width="11.7109375" customWidth="1"/>
    <col min="7" max="7" width="29" customWidth="1"/>
    <col min="8" max="8" width="9.5703125" customWidth="1"/>
    <col min="9" max="9" width="9.42578125" customWidth="1"/>
    <col min="10" max="10" width="14.42578125" hidden="1"/>
    <col min="11" max="11" width="11" customWidth="1"/>
    <col min="12" max="12" width="11.28515625" customWidth="1"/>
    <col min="13" max="13" width="11.42578125" customWidth="1"/>
  </cols>
  <sheetData>
    <row r="1" spans="1:13" ht="36.75">
      <c r="A1" s="65"/>
      <c r="B1" s="66" t="s">
        <v>93</v>
      </c>
      <c r="C1" s="67" t="s">
        <v>94</v>
      </c>
      <c r="D1" s="68" t="s">
        <v>95</v>
      </c>
      <c r="E1" s="69" t="s">
        <v>96</v>
      </c>
      <c r="F1" s="70" t="s">
        <v>97</v>
      </c>
      <c r="G1" s="71" t="s">
        <v>98</v>
      </c>
      <c r="H1" s="71" t="s">
        <v>99</v>
      </c>
      <c r="I1" s="72" t="s">
        <v>100</v>
      </c>
      <c r="J1" s="73" t="s">
        <v>101</v>
      </c>
      <c r="K1" s="74" t="s">
        <v>102</v>
      </c>
      <c r="L1" s="75" t="s">
        <v>103</v>
      </c>
      <c r="M1" s="71" t="s">
        <v>104</v>
      </c>
    </row>
    <row r="2" spans="1:13" ht="23.25">
      <c r="A2" s="545"/>
      <c r="B2" s="914" t="s">
        <v>137</v>
      </c>
      <c r="C2" s="915"/>
      <c r="D2" s="915"/>
      <c r="E2" s="915"/>
      <c r="F2" s="915"/>
      <c r="G2" s="915"/>
      <c r="H2" s="915"/>
      <c r="I2" s="915"/>
      <c r="J2" s="915"/>
      <c r="K2" s="915"/>
      <c r="L2" s="915"/>
      <c r="M2" s="916"/>
    </row>
    <row r="3" spans="1:13" ht="15.75">
      <c r="A3" s="545">
        <v>1</v>
      </c>
      <c r="B3" s="546" t="s">
        <v>138</v>
      </c>
      <c r="C3" s="77" t="s">
        <v>139</v>
      </c>
      <c r="D3" s="365" t="s">
        <v>140</v>
      </c>
      <c r="E3" s="652"/>
      <c r="F3" s="653"/>
      <c r="G3" s="214" t="s">
        <v>141</v>
      </c>
      <c r="H3" s="215" t="s">
        <v>142</v>
      </c>
      <c r="I3" s="356">
        <v>66</v>
      </c>
      <c r="J3" s="82">
        <f t="shared" ref="J3:J17" si="0">(K3*8%)+K3</f>
        <v>0</v>
      </c>
      <c r="K3" s="673"/>
      <c r="L3" s="83">
        <f t="shared" ref="L3:L4" si="1">K3/125</f>
        <v>0</v>
      </c>
      <c r="M3" s="84">
        <f t="shared" ref="M3:M8" si="2">I3*K3</f>
        <v>0</v>
      </c>
    </row>
    <row r="4" spans="1:13" ht="15.75">
      <c r="A4" s="545">
        <v>2</v>
      </c>
      <c r="B4" s="427" t="s">
        <v>143</v>
      </c>
      <c r="C4" s="86" t="s">
        <v>144</v>
      </c>
      <c r="D4" s="428" t="s">
        <v>140</v>
      </c>
      <c r="E4" s="654"/>
      <c r="F4" s="655"/>
      <c r="G4" s="151" t="s">
        <v>145</v>
      </c>
      <c r="H4" s="509" t="s">
        <v>142</v>
      </c>
      <c r="I4" s="429">
        <v>74</v>
      </c>
      <c r="J4" s="91">
        <f t="shared" si="0"/>
        <v>0</v>
      </c>
      <c r="K4" s="672"/>
      <c r="L4" s="92">
        <f t="shared" si="1"/>
        <v>0</v>
      </c>
      <c r="M4" s="93">
        <f t="shared" si="2"/>
        <v>0</v>
      </c>
    </row>
    <row r="5" spans="1:13" ht="15.75">
      <c r="A5" s="545">
        <v>3</v>
      </c>
      <c r="B5" s="546" t="s">
        <v>146</v>
      </c>
      <c r="C5" s="346" t="s">
        <v>147</v>
      </c>
      <c r="D5" s="547" t="s">
        <v>148</v>
      </c>
      <c r="E5" s="656"/>
      <c r="F5" s="657"/>
      <c r="G5" s="549" t="s">
        <v>149</v>
      </c>
      <c r="H5" s="296" t="s">
        <v>142</v>
      </c>
      <c r="I5" s="349">
        <v>135</v>
      </c>
      <c r="J5" s="91">
        <f t="shared" si="0"/>
        <v>0</v>
      </c>
      <c r="K5" s="674"/>
      <c r="L5" s="99">
        <f>K5/95</f>
        <v>0</v>
      </c>
      <c r="M5" s="100">
        <f t="shared" si="2"/>
        <v>0</v>
      </c>
    </row>
    <row r="6" spans="1:13" ht="15.75">
      <c r="A6" s="111">
        <v>4</v>
      </c>
      <c r="B6" s="102" t="s">
        <v>150</v>
      </c>
      <c r="C6" s="409" t="s">
        <v>151</v>
      </c>
      <c r="D6" s="547" t="s">
        <v>152</v>
      </c>
      <c r="E6" s="658"/>
      <c r="F6" s="659"/>
      <c r="G6" s="103"/>
      <c r="H6" s="104"/>
      <c r="I6" s="105">
        <v>77</v>
      </c>
      <c r="J6" s="106">
        <f t="shared" si="0"/>
        <v>0</v>
      </c>
      <c r="K6" s="675"/>
      <c r="L6" s="107">
        <f>K6/65</f>
        <v>0</v>
      </c>
      <c r="M6" s="108">
        <f t="shared" si="2"/>
        <v>0</v>
      </c>
    </row>
    <row r="7" spans="1:13" ht="15.75">
      <c r="A7" s="111">
        <v>5</v>
      </c>
      <c r="B7" s="546" t="s">
        <v>153</v>
      </c>
      <c r="C7" s="346" t="s">
        <v>154</v>
      </c>
      <c r="D7" s="302" t="s">
        <v>155</v>
      </c>
      <c r="E7" s="660"/>
      <c r="F7" s="657"/>
      <c r="G7" s="549" t="s">
        <v>156</v>
      </c>
      <c r="H7" s="296" t="s">
        <v>142</v>
      </c>
      <c r="I7" s="349">
        <v>175</v>
      </c>
      <c r="J7" s="106">
        <f t="shared" si="0"/>
        <v>0</v>
      </c>
      <c r="K7" s="676"/>
      <c r="L7" s="110">
        <f>K7/152</f>
        <v>0</v>
      </c>
      <c r="M7" s="100">
        <f t="shared" si="2"/>
        <v>0</v>
      </c>
    </row>
    <row r="8" spans="1:13" ht="15.75">
      <c r="A8" s="111"/>
      <c r="B8" s="299"/>
      <c r="C8" s="157" t="s">
        <v>157</v>
      </c>
      <c r="D8" s="365" t="s">
        <v>158</v>
      </c>
      <c r="E8" s="652"/>
      <c r="F8" s="653"/>
      <c r="G8" s="214" t="s">
        <v>159</v>
      </c>
      <c r="H8" s="215"/>
      <c r="I8" s="356">
        <v>10</v>
      </c>
      <c r="J8" s="114">
        <f t="shared" si="0"/>
        <v>0</v>
      </c>
      <c r="K8" s="673"/>
      <c r="L8" s="83">
        <f>K8/38</f>
        <v>0</v>
      </c>
      <c r="M8" s="115">
        <f t="shared" si="2"/>
        <v>0</v>
      </c>
    </row>
    <row r="9" spans="1:13" ht="15.75">
      <c r="A9" s="111">
        <v>6</v>
      </c>
      <c r="B9" s="548" t="s">
        <v>160</v>
      </c>
      <c r="C9" s="412" t="s">
        <v>161</v>
      </c>
      <c r="D9" s="130" t="s">
        <v>162</v>
      </c>
      <c r="E9" s="661"/>
      <c r="F9" s="662"/>
      <c r="G9" s="199" t="s">
        <v>163</v>
      </c>
      <c r="H9" s="389" t="s">
        <v>142</v>
      </c>
      <c r="I9" s="362">
        <v>120</v>
      </c>
      <c r="J9" s="82">
        <f t="shared" si="0"/>
        <v>0</v>
      </c>
      <c r="K9" s="677"/>
      <c r="L9" s="122">
        <f>K9/200</f>
        <v>0</v>
      </c>
      <c r="M9" s="123">
        <f t="shared" ref="M9:M10" si="3">(I9*L9)</f>
        <v>0</v>
      </c>
    </row>
    <row r="10" spans="1:13" ht="15.75">
      <c r="A10" s="111"/>
      <c r="B10" s="548"/>
      <c r="C10" s="412" t="s">
        <v>164</v>
      </c>
      <c r="D10" s="130" t="s">
        <v>165</v>
      </c>
      <c r="E10" s="663"/>
      <c r="F10" s="662"/>
      <c r="G10" s="199" t="s">
        <v>166</v>
      </c>
      <c r="H10" s="389" t="s">
        <v>142</v>
      </c>
      <c r="I10" s="362">
        <v>275</v>
      </c>
      <c r="J10" s="91">
        <f t="shared" si="0"/>
        <v>0</v>
      </c>
      <c r="K10" s="678"/>
      <c r="L10" s="124">
        <f>K10/36</f>
        <v>0</v>
      </c>
      <c r="M10" s="123">
        <f t="shared" si="3"/>
        <v>0</v>
      </c>
    </row>
    <row r="11" spans="1:13" ht="15.75">
      <c r="A11" s="111"/>
      <c r="B11" s="299"/>
      <c r="C11" s="125"/>
      <c r="D11" s="365"/>
      <c r="E11" s="664"/>
      <c r="F11" s="653"/>
      <c r="G11" s="214" t="s">
        <v>167</v>
      </c>
      <c r="H11" s="215"/>
      <c r="I11" s="356"/>
      <c r="J11" s="127">
        <f t="shared" si="0"/>
        <v>0</v>
      </c>
      <c r="K11" s="679"/>
      <c r="L11" s="128"/>
      <c r="M11" s="115"/>
    </row>
    <row r="12" spans="1:13" ht="15.75">
      <c r="A12" s="111">
        <v>7</v>
      </c>
      <c r="B12" s="548" t="s">
        <v>168</v>
      </c>
      <c r="C12" s="412" t="s">
        <v>169</v>
      </c>
      <c r="D12" s="130" t="s">
        <v>170</v>
      </c>
      <c r="E12" s="661"/>
      <c r="F12" s="662"/>
      <c r="G12" s="199" t="s">
        <v>171</v>
      </c>
      <c r="H12" s="389" t="s">
        <v>142</v>
      </c>
      <c r="I12" s="362">
        <v>25</v>
      </c>
      <c r="J12" s="91">
        <f t="shared" si="0"/>
        <v>0</v>
      </c>
      <c r="K12" s="677"/>
      <c r="L12" s="122">
        <f>K12/96</f>
        <v>0</v>
      </c>
      <c r="M12" s="123">
        <f>(I12*L12)</f>
        <v>0</v>
      </c>
    </row>
    <row r="13" spans="1:13" ht="15.75">
      <c r="A13" s="111"/>
      <c r="B13" s="548"/>
      <c r="C13" s="239" t="s">
        <v>172</v>
      </c>
      <c r="D13" s="130"/>
      <c r="E13" s="664"/>
      <c r="F13" s="653"/>
      <c r="G13" s="214"/>
      <c r="H13" s="215"/>
      <c r="I13" s="356"/>
      <c r="J13" s="91">
        <f t="shared" si="0"/>
        <v>0</v>
      </c>
      <c r="K13" s="679"/>
      <c r="L13" s="128"/>
      <c r="M13" s="115"/>
    </row>
    <row r="14" spans="1:13" ht="15.75">
      <c r="A14" s="111">
        <v>8</v>
      </c>
      <c r="B14" s="546" t="s">
        <v>173</v>
      </c>
      <c r="C14" s="347" t="s">
        <v>174</v>
      </c>
      <c r="D14" s="302" t="s">
        <v>175</v>
      </c>
      <c r="E14" s="665"/>
      <c r="F14" s="657"/>
      <c r="G14" s="549" t="s">
        <v>159</v>
      </c>
      <c r="H14" s="296" t="s">
        <v>142</v>
      </c>
      <c r="I14" s="349">
        <v>200</v>
      </c>
      <c r="J14" s="91">
        <f t="shared" si="0"/>
        <v>0</v>
      </c>
      <c r="K14" s="674"/>
      <c r="L14" s="99">
        <f>K14/152</f>
        <v>0</v>
      </c>
      <c r="M14" s="100" t="s">
        <v>39</v>
      </c>
    </row>
    <row r="15" spans="1:13" ht="15.75">
      <c r="A15" s="111"/>
      <c r="B15" s="299"/>
      <c r="C15" s="157" t="s">
        <v>176</v>
      </c>
      <c r="D15" s="365"/>
      <c r="E15" s="664"/>
      <c r="F15" s="653"/>
      <c r="G15" s="214"/>
      <c r="H15" s="215"/>
      <c r="I15" s="356"/>
      <c r="J15" s="91">
        <f t="shared" si="0"/>
        <v>0</v>
      </c>
      <c r="K15" s="679"/>
      <c r="L15" s="128"/>
      <c r="M15" s="115"/>
    </row>
    <row r="16" spans="1:13" ht="15.75">
      <c r="A16" s="111">
        <v>9</v>
      </c>
      <c r="B16" s="546" t="s">
        <v>177</v>
      </c>
      <c r="C16" s="132" t="s">
        <v>178</v>
      </c>
      <c r="D16" s="302" t="s">
        <v>179</v>
      </c>
      <c r="E16" s="665"/>
      <c r="F16" s="657"/>
      <c r="G16" s="549" t="s">
        <v>159</v>
      </c>
      <c r="H16" s="296" t="s">
        <v>142</v>
      </c>
      <c r="I16" s="349">
        <v>202</v>
      </c>
      <c r="J16" s="91">
        <f t="shared" si="0"/>
        <v>0</v>
      </c>
      <c r="K16" s="674"/>
      <c r="L16" s="99">
        <f>K16/60</f>
        <v>0</v>
      </c>
      <c r="M16" s="133">
        <f>I16*K16</f>
        <v>0</v>
      </c>
    </row>
    <row r="17" spans="1:13" ht="15.75">
      <c r="A17" s="111"/>
      <c r="B17" s="299"/>
      <c r="C17" s="352" t="s">
        <v>180</v>
      </c>
      <c r="D17" s="365"/>
      <c r="E17" s="664"/>
      <c r="F17" s="653"/>
      <c r="G17" s="214"/>
      <c r="H17" s="215"/>
      <c r="I17" s="356"/>
      <c r="J17" s="91">
        <f t="shared" si="0"/>
        <v>0</v>
      </c>
      <c r="K17" s="679"/>
      <c r="L17" s="128"/>
      <c r="M17" s="84"/>
    </row>
    <row r="18" spans="1:13" ht="15.75">
      <c r="A18" s="111">
        <v>10</v>
      </c>
      <c r="B18" s="548" t="s">
        <v>181</v>
      </c>
      <c r="C18" s="360" t="s">
        <v>182</v>
      </c>
      <c r="D18" s="130" t="s">
        <v>183</v>
      </c>
      <c r="E18" s="663"/>
      <c r="F18" s="666"/>
      <c r="G18" s="199" t="s">
        <v>184</v>
      </c>
      <c r="H18" s="296" t="s">
        <v>142</v>
      </c>
      <c r="I18" s="362">
        <v>20</v>
      </c>
      <c r="J18" s="91"/>
      <c r="K18" s="678"/>
      <c r="L18" s="124"/>
      <c r="M18" s="123"/>
    </row>
    <row r="19" spans="1:13" ht="15.75">
      <c r="A19" s="111"/>
      <c r="B19" s="548"/>
      <c r="C19" s="139"/>
      <c r="D19" s="130"/>
      <c r="E19" s="667"/>
      <c r="F19" s="668"/>
      <c r="G19" s="199"/>
      <c r="H19" s="389"/>
      <c r="I19" s="362"/>
      <c r="J19" s="106"/>
      <c r="K19" s="680"/>
      <c r="L19" s="137"/>
      <c r="M19" s="123"/>
    </row>
    <row r="20" spans="1:13" ht="15.75">
      <c r="A20" s="111">
        <v>11</v>
      </c>
      <c r="B20" s="546" t="s">
        <v>185</v>
      </c>
      <c r="C20" s="347" t="s">
        <v>186</v>
      </c>
      <c r="D20" s="302" t="s">
        <v>187</v>
      </c>
      <c r="E20" s="660"/>
      <c r="F20" s="657"/>
      <c r="G20" s="549" t="s">
        <v>188</v>
      </c>
      <c r="H20" s="296" t="s">
        <v>142</v>
      </c>
      <c r="I20" s="349">
        <v>16</v>
      </c>
      <c r="J20" s="106">
        <f t="shared" ref="J20:J49" si="4">(K20*8%)+K20</f>
        <v>0</v>
      </c>
      <c r="K20" s="676"/>
      <c r="L20" s="110">
        <f>K20/30</f>
        <v>0</v>
      </c>
      <c r="M20" s="100">
        <f>K20*I20</f>
        <v>0</v>
      </c>
    </row>
    <row r="21" spans="1:13" ht="15.75">
      <c r="A21" s="111"/>
      <c r="B21" s="548"/>
      <c r="C21" s="139" t="s">
        <v>189</v>
      </c>
      <c r="D21" s="130" t="s">
        <v>190</v>
      </c>
      <c r="E21" s="669"/>
      <c r="F21" s="662"/>
      <c r="G21" s="199" t="s">
        <v>191</v>
      </c>
      <c r="H21" s="389" t="s">
        <v>142</v>
      </c>
      <c r="I21" s="362">
        <v>90</v>
      </c>
      <c r="J21" s="140">
        <f t="shared" si="4"/>
        <v>0</v>
      </c>
      <c r="K21" s="681"/>
      <c r="L21" s="142">
        <f>K21/120</f>
        <v>0</v>
      </c>
      <c r="M21" s="143">
        <f t="shared" ref="M21:M24" si="5">I21*K21</f>
        <v>0</v>
      </c>
    </row>
    <row r="22" spans="1:13" ht="15.75">
      <c r="A22" s="111">
        <v>12</v>
      </c>
      <c r="B22" s="546" t="s">
        <v>192</v>
      </c>
      <c r="C22" s="346" t="s">
        <v>193</v>
      </c>
      <c r="D22" s="302" t="s">
        <v>194</v>
      </c>
      <c r="E22" s="660"/>
      <c r="F22" s="657"/>
      <c r="G22" s="549" t="s">
        <v>195</v>
      </c>
      <c r="H22" s="296" t="s">
        <v>142</v>
      </c>
      <c r="I22" s="349">
        <v>20</v>
      </c>
      <c r="J22" s="106">
        <f t="shared" si="4"/>
        <v>0</v>
      </c>
      <c r="K22" s="676"/>
      <c r="L22" s="110">
        <f>K22/18</f>
        <v>0</v>
      </c>
      <c r="M22" s="100">
        <f t="shared" si="5"/>
        <v>0</v>
      </c>
    </row>
    <row r="23" spans="1:13" ht="15.75">
      <c r="A23" s="111"/>
      <c r="B23" s="299"/>
      <c r="C23" s="77" t="s">
        <v>196</v>
      </c>
      <c r="D23" s="365" t="s">
        <v>194</v>
      </c>
      <c r="E23" s="652"/>
      <c r="F23" s="653"/>
      <c r="G23" s="214" t="s">
        <v>197</v>
      </c>
      <c r="H23" s="215"/>
      <c r="I23" s="356">
        <v>90</v>
      </c>
      <c r="J23" s="114">
        <f t="shared" si="4"/>
        <v>0</v>
      </c>
      <c r="K23" s="673"/>
      <c r="L23" s="144" t="s">
        <v>198</v>
      </c>
      <c r="M23" s="115">
        <f t="shared" si="5"/>
        <v>0</v>
      </c>
    </row>
    <row r="24" spans="1:13" ht="15.75">
      <c r="A24" s="111">
        <v>13</v>
      </c>
      <c r="B24" s="299" t="s">
        <v>199</v>
      </c>
      <c r="C24" s="352" t="s">
        <v>200</v>
      </c>
      <c r="D24" s="365" t="s">
        <v>201</v>
      </c>
      <c r="E24" s="652"/>
      <c r="F24" s="653"/>
      <c r="G24" s="214" t="s">
        <v>202</v>
      </c>
      <c r="H24" s="215" t="s">
        <v>142</v>
      </c>
      <c r="I24" s="356">
        <v>11</v>
      </c>
      <c r="J24" s="114">
        <f t="shared" si="4"/>
        <v>0</v>
      </c>
      <c r="K24" s="673"/>
      <c r="L24" s="83">
        <f t="shared" ref="L24:L25" si="6">K24/48</f>
        <v>0</v>
      </c>
      <c r="M24" s="84">
        <f t="shared" si="5"/>
        <v>0</v>
      </c>
    </row>
    <row r="25" spans="1:13" ht="15.75">
      <c r="A25" s="111">
        <v>14</v>
      </c>
      <c r="B25" s="548" t="s">
        <v>203</v>
      </c>
      <c r="C25" s="412" t="s">
        <v>204</v>
      </c>
      <c r="D25" s="130" t="s">
        <v>187</v>
      </c>
      <c r="E25" s="665"/>
      <c r="F25" s="662"/>
      <c r="G25" s="199" t="s">
        <v>171</v>
      </c>
      <c r="H25" s="389" t="s">
        <v>142</v>
      </c>
      <c r="I25" s="362">
        <v>10</v>
      </c>
      <c r="J25" s="91">
        <f t="shared" si="4"/>
        <v>0</v>
      </c>
      <c r="K25" s="677"/>
      <c r="L25" s="122">
        <f t="shared" si="6"/>
        <v>0</v>
      </c>
      <c r="M25" s="123">
        <f>(I25*K25)</f>
        <v>0</v>
      </c>
    </row>
    <row r="26" spans="1:13" ht="15.75">
      <c r="A26" s="111"/>
      <c r="B26" s="548"/>
      <c r="C26" s="239" t="s">
        <v>205</v>
      </c>
      <c r="D26" s="130"/>
      <c r="E26" s="663"/>
      <c r="F26" s="662"/>
      <c r="G26" s="199"/>
      <c r="H26" s="389"/>
      <c r="I26" s="362"/>
      <c r="J26" s="91">
        <f t="shared" si="4"/>
        <v>0</v>
      </c>
      <c r="K26" s="678"/>
      <c r="L26" s="124"/>
      <c r="M26" s="123"/>
    </row>
    <row r="27" spans="1:13" ht="15.75">
      <c r="A27" s="111">
        <v>15</v>
      </c>
      <c r="B27" s="546" t="s">
        <v>206</v>
      </c>
      <c r="C27" s="347" t="s">
        <v>207</v>
      </c>
      <c r="D27" s="302" t="s">
        <v>208</v>
      </c>
      <c r="E27" s="665"/>
      <c r="F27" s="657"/>
      <c r="G27" s="549" t="s">
        <v>171</v>
      </c>
      <c r="H27" s="296" t="s">
        <v>142</v>
      </c>
      <c r="I27" s="349">
        <v>24</v>
      </c>
      <c r="J27" s="91">
        <f t="shared" si="4"/>
        <v>0</v>
      </c>
      <c r="K27" s="674"/>
      <c r="L27" s="99">
        <f>K27/36</f>
        <v>0</v>
      </c>
      <c r="M27" s="100">
        <f>(I27*K27)</f>
        <v>0</v>
      </c>
    </row>
    <row r="28" spans="1:13" ht="15.75">
      <c r="A28" s="111"/>
      <c r="B28" s="299"/>
      <c r="C28" s="352" t="s">
        <v>209</v>
      </c>
      <c r="D28" s="365"/>
      <c r="E28" s="664"/>
      <c r="F28" s="653"/>
      <c r="G28" s="214"/>
      <c r="H28" s="215"/>
      <c r="I28" s="356"/>
      <c r="J28" s="91">
        <f t="shared" si="4"/>
        <v>0</v>
      </c>
      <c r="K28" s="679"/>
      <c r="L28" s="128"/>
      <c r="M28" s="115"/>
    </row>
    <row r="29" spans="1:13" ht="15.75">
      <c r="A29" s="111">
        <v>16</v>
      </c>
      <c r="B29" s="546" t="s">
        <v>210</v>
      </c>
      <c r="C29" s="411" t="s">
        <v>211</v>
      </c>
      <c r="D29" s="302" t="s">
        <v>212</v>
      </c>
      <c r="E29" s="665"/>
      <c r="F29" s="657"/>
      <c r="G29" s="549" t="s">
        <v>171</v>
      </c>
      <c r="H29" s="296" t="s">
        <v>142</v>
      </c>
      <c r="I29" s="349">
        <v>10</v>
      </c>
      <c r="J29" s="91">
        <f t="shared" si="4"/>
        <v>0</v>
      </c>
      <c r="K29" s="674"/>
      <c r="L29" s="99">
        <f>K29/50</f>
        <v>0</v>
      </c>
      <c r="M29" s="100">
        <f>(I29*K29)</f>
        <v>0</v>
      </c>
    </row>
    <row r="30" spans="1:13" ht="15.75">
      <c r="A30" s="111"/>
      <c r="B30" s="299"/>
      <c r="C30" s="352" t="s">
        <v>213</v>
      </c>
      <c r="D30" s="365"/>
      <c r="E30" s="664"/>
      <c r="F30" s="653"/>
      <c r="G30" s="214"/>
      <c r="H30" s="215"/>
      <c r="I30" s="356"/>
      <c r="J30" s="91">
        <f t="shared" si="4"/>
        <v>0</v>
      </c>
      <c r="K30" s="679"/>
      <c r="L30" s="128"/>
      <c r="M30" s="115"/>
    </row>
    <row r="31" spans="1:13" ht="15.75">
      <c r="A31" s="111">
        <v>17</v>
      </c>
      <c r="B31" s="548" t="s">
        <v>214</v>
      </c>
      <c r="C31" s="360" t="s">
        <v>215</v>
      </c>
      <c r="D31" s="130" t="s">
        <v>216</v>
      </c>
      <c r="E31" s="665"/>
      <c r="F31" s="657"/>
      <c r="G31" s="199" t="s">
        <v>217</v>
      </c>
      <c r="H31" s="389" t="s">
        <v>218</v>
      </c>
      <c r="I31" s="362">
        <v>20</v>
      </c>
      <c r="J31" s="91">
        <f t="shared" si="4"/>
        <v>0</v>
      </c>
      <c r="K31" s="678"/>
      <c r="L31" s="124">
        <f>K31/5</f>
        <v>0</v>
      </c>
      <c r="M31" s="123">
        <f>I31*K31</f>
        <v>0</v>
      </c>
    </row>
    <row r="32" spans="1:13" ht="15.75">
      <c r="A32" s="111"/>
      <c r="B32" s="548"/>
      <c r="C32" s="239"/>
      <c r="D32" s="130"/>
      <c r="E32" s="664"/>
      <c r="F32" s="653"/>
      <c r="G32" s="199" t="s">
        <v>167</v>
      </c>
      <c r="H32" s="389"/>
      <c r="I32" s="362"/>
      <c r="J32" s="91">
        <f t="shared" si="4"/>
        <v>0</v>
      </c>
      <c r="K32" s="678"/>
      <c r="L32" s="124" t="s">
        <v>198</v>
      </c>
      <c r="M32" s="123"/>
    </row>
    <row r="33" spans="1:13" ht="24.75">
      <c r="A33" s="111">
        <v>18</v>
      </c>
      <c r="B33" s="427" t="s">
        <v>219</v>
      </c>
      <c r="C33" s="149" t="s">
        <v>220</v>
      </c>
      <c r="D33" s="150" t="s">
        <v>221</v>
      </c>
      <c r="E33" s="670"/>
      <c r="F33" s="655"/>
      <c r="G33" s="151" t="s">
        <v>222</v>
      </c>
      <c r="H33" s="509" t="s">
        <v>142</v>
      </c>
      <c r="I33" s="429">
        <v>122</v>
      </c>
      <c r="J33" s="91">
        <f t="shared" si="4"/>
        <v>0</v>
      </c>
      <c r="K33" s="672"/>
      <c r="L33" s="92">
        <f>K33/138</f>
        <v>0</v>
      </c>
      <c r="M33" s="152">
        <f>I33*K33</f>
        <v>0</v>
      </c>
    </row>
    <row r="34" spans="1:13" ht="15.75">
      <c r="A34" s="111">
        <v>19</v>
      </c>
      <c r="B34" s="548" t="s">
        <v>223</v>
      </c>
      <c r="C34" s="360" t="s">
        <v>224</v>
      </c>
      <c r="D34" s="130" t="s">
        <v>225</v>
      </c>
      <c r="E34" s="661"/>
      <c r="F34" s="662"/>
      <c r="G34" s="199" t="s">
        <v>226</v>
      </c>
      <c r="H34" s="389" t="s">
        <v>142</v>
      </c>
      <c r="I34" s="362">
        <v>10</v>
      </c>
      <c r="J34" s="91">
        <f t="shared" si="4"/>
        <v>0</v>
      </c>
      <c r="K34" s="678"/>
      <c r="L34" s="124">
        <f>K34/56</f>
        <v>0</v>
      </c>
      <c r="M34" s="143">
        <f>K34*I34</f>
        <v>0</v>
      </c>
    </row>
    <row r="35" spans="1:13" ht="15.75">
      <c r="A35" s="111"/>
      <c r="B35" s="548"/>
      <c r="C35" s="239" t="s">
        <v>227</v>
      </c>
      <c r="D35" s="130"/>
      <c r="E35" s="663"/>
      <c r="F35" s="662"/>
      <c r="G35" s="199" t="s">
        <v>167</v>
      </c>
      <c r="H35" s="389"/>
      <c r="I35" s="362"/>
      <c r="J35" s="91">
        <f t="shared" si="4"/>
        <v>0</v>
      </c>
      <c r="K35" s="678"/>
      <c r="L35" s="154"/>
      <c r="M35" s="155"/>
    </row>
    <row r="36" spans="1:13" ht="15.75">
      <c r="A36" s="111">
        <v>20</v>
      </c>
      <c r="B36" s="546" t="s">
        <v>228</v>
      </c>
      <c r="C36" s="346" t="s">
        <v>229</v>
      </c>
      <c r="D36" s="302" t="s">
        <v>140</v>
      </c>
      <c r="E36" s="665"/>
      <c r="F36" s="657"/>
      <c r="G36" s="549" t="s">
        <v>230</v>
      </c>
      <c r="H36" s="296" t="s">
        <v>142</v>
      </c>
      <c r="I36" s="349">
        <v>130</v>
      </c>
      <c r="J36" s="91">
        <f t="shared" si="4"/>
        <v>0</v>
      </c>
      <c r="K36" s="674"/>
      <c r="L36" s="156">
        <f>K36/100</f>
        <v>0</v>
      </c>
      <c r="M36" s="100">
        <f>K36*I36</f>
        <v>0</v>
      </c>
    </row>
    <row r="37" spans="1:13" ht="15.75">
      <c r="A37" s="111"/>
      <c r="B37" s="299"/>
      <c r="C37" s="157"/>
      <c r="D37" s="365"/>
      <c r="E37" s="664"/>
      <c r="F37" s="653"/>
      <c r="G37" s="214" t="s">
        <v>231</v>
      </c>
      <c r="H37" s="215"/>
      <c r="I37" s="356"/>
      <c r="J37" s="91">
        <f t="shared" si="4"/>
        <v>0</v>
      </c>
      <c r="K37" s="679"/>
      <c r="L37" s="158" t="s">
        <v>232</v>
      </c>
      <c r="M37" s="115"/>
    </row>
    <row r="38" spans="1:13" ht="15.75">
      <c r="A38" s="111">
        <v>21</v>
      </c>
      <c r="B38" s="546" t="s">
        <v>233</v>
      </c>
      <c r="C38" s="411" t="s">
        <v>234</v>
      </c>
      <c r="D38" s="302" t="s">
        <v>235</v>
      </c>
      <c r="E38" s="665"/>
      <c r="F38" s="657"/>
      <c r="G38" s="549" t="s">
        <v>226</v>
      </c>
      <c r="H38" s="296" t="s">
        <v>142</v>
      </c>
      <c r="I38" s="349">
        <v>10</v>
      </c>
      <c r="J38" s="91">
        <f t="shared" si="4"/>
        <v>0</v>
      </c>
      <c r="K38" s="674"/>
      <c r="L38" s="99">
        <f>K38/60</f>
        <v>0</v>
      </c>
      <c r="M38" s="100">
        <f>(I38*K38)</f>
        <v>0</v>
      </c>
    </row>
    <row r="39" spans="1:13" ht="15.75">
      <c r="A39" s="111"/>
      <c r="B39" s="299"/>
      <c r="C39" s="352" t="s">
        <v>236</v>
      </c>
      <c r="D39" s="365"/>
      <c r="E39" s="664"/>
      <c r="F39" s="653"/>
      <c r="G39" s="214" t="s">
        <v>167</v>
      </c>
      <c r="H39" s="215"/>
      <c r="I39" s="356"/>
      <c r="J39" s="91">
        <f t="shared" si="4"/>
        <v>0</v>
      </c>
      <c r="K39" s="679"/>
      <c r="L39" s="128"/>
      <c r="M39" s="115"/>
    </row>
    <row r="40" spans="1:13" ht="15.75">
      <c r="A40" s="111">
        <v>22</v>
      </c>
      <c r="B40" s="546" t="s">
        <v>237</v>
      </c>
      <c r="C40" s="347" t="s">
        <v>238</v>
      </c>
      <c r="D40" s="302" t="s">
        <v>179</v>
      </c>
      <c r="E40" s="665"/>
      <c r="F40" s="662"/>
      <c r="G40" s="199" t="s">
        <v>239</v>
      </c>
      <c r="H40" s="389" t="s">
        <v>240</v>
      </c>
      <c r="I40" s="362">
        <v>65</v>
      </c>
      <c r="J40" s="91">
        <f t="shared" si="4"/>
        <v>0</v>
      </c>
      <c r="K40" s="678"/>
      <c r="L40" s="159">
        <f>K40/5</f>
        <v>0</v>
      </c>
      <c r="M40" s="123">
        <f t="shared" ref="M40:M41" si="7">I40*K40</f>
        <v>0</v>
      </c>
    </row>
    <row r="41" spans="1:13" ht="24">
      <c r="A41" s="111">
        <v>23</v>
      </c>
      <c r="B41" s="427" t="s">
        <v>241</v>
      </c>
      <c r="C41" s="395" t="s">
        <v>242</v>
      </c>
      <c r="D41" s="150" t="s">
        <v>243</v>
      </c>
      <c r="E41" s="670"/>
      <c r="F41" s="655"/>
      <c r="G41" s="165" t="s">
        <v>244</v>
      </c>
      <c r="H41" s="509" t="s">
        <v>245</v>
      </c>
      <c r="I41" s="429">
        <v>190</v>
      </c>
      <c r="J41" s="91">
        <f t="shared" si="4"/>
        <v>0</v>
      </c>
      <c r="K41" s="672"/>
      <c r="L41" s="161">
        <f>K41/12</f>
        <v>0</v>
      </c>
      <c r="M41" s="152">
        <f t="shared" si="7"/>
        <v>0</v>
      </c>
    </row>
    <row r="42" spans="1:13" ht="15.75">
      <c r="A42" s="111">
        <v>24</v>
      </c>
      <c r="B42" s="548" t="s">
        <v>246</v>
      </c>
      <c r="C42" s="360" t="s">
        <v>247</v>
      </c>
      <c r="D42" s="130" t="s">
        <v>248</v>
      </c>
      <c r="E42" s="663"/>
      <c r="F42" s="662"/>
      <c r="G42" s="199" t="s">
        <v>249</v>
      </c>
      <c r="H42" s="389" t="s">
        <v>142</v>
      </c>
      <c r="I42" s="362">
        <v>23</v>
      </c>
      <c r="J42" s="91">
        <f t="shared" si="4"/>
        <v>0</v>
      </c>
      <c r="K42" s="678"/>
      <c r="L42" s="159">
        <f>K42/3</f>
        <v>0</v>
      </c>
      <c r="M42" s="123">
        <f t="shared" ref="M42:M43" si="8">K42*I42</f>
        <v>0</v>
      </c>
    </row>
    <row r="43" spans="1:13" ht="15.75">
      <c r="A43" s="111">
        <v>25</v>
      </c>
      <c r="B43" s="546" t="s">
        <v>250</v>
      </c>
      <c r="C43" s="347" t="s">
        <v>251</v>
      </c>
      <c r="D43" s="302" t="s">
        <v>252</v>
      </c>
      <c r="E43" s="665"/>
      <c r="F43" s="657"/>
      <c r="G43" s="549" t="s">
        <v>253</v>
      </c>
      <c r="H43" s="296" t="s">
        <v>142</v>
      </c>
      <c r="I43" s="349">
        <v>20</v>
      </c>
      <c r="J43" s="91">
        <f t="shared" si="4"/>
        <v>0</v>
      </c>
      <c r="K43" s="674"/>
      <c r="L43" s="156">
        <f>K43/64</f>
        <v>0</v>
      </c>
      <c r="M43" s="100">
        <f t="shared" si="8"/>
        <v>0</v>
      </c>
    </row>
    <row r="44" spans="1:13" ht="15.75">
      <c r="A44" s="111"/>
      <c r="B44" s="299"/>
      <c r="C44" s="226"/>
      <c r="D44" s="365"/>
      <c r="E44" s="664"/>
      <c r="F44" s="653"/>
      <c r="G44" s="214"/>
      <c r="H44" s="215"/>
      <c r="I44" s="356"/>
      <c r="J44" s="91">
        <f t="shared" si="4"/>
        <v>0</v>
      </c>
      <c r="K44" s="679"/>
      <c r="L44" s="158" t="s">
        <v>254</v>
      </c>
      <c r="M44" s="115"/>
    </row>
    <row r="45" spans="1:13" ht="15.75">
      <c r="A45" s="111">
        <v>26</v>
      </c>
      <c r="B45" s="546" t="s">
        <v>255</v>
      </c>
      <c r="C45" s="347" t="s">
        <v>256</v>
      </c>
      <c r="D45" s="302" t="s">
        <v>257</v>
      </c>
      <c r="E45" s="665"/>
      <c r="F45" s="657"/>
      <c r="G45" s="549" t="s">
        <v>258</v>
      </c>
      <c r="H45" s="296" t="s">
        <v>142</v>
      </c>
      <c r="I45" s="349">
        <v>63</v>
      </c>
      <c r="J45" s="91">
        <f t="shared" si="4"/>
        <v>0</v>
      </c>
      <c r="K45" s="674"/>
      <c r="L45" s="156">
        <f>K45/8</f>
        <v>0</v>
      </c>
      <c r="M45" s="100">
        <f>I45*K45</f>
        <v>0</v>
      </c>
    </row>
    <row r="46" spans="1:13" ht="15.75">
      <c r="A46" s="111"/>
      <c r="B46" s="299"/>
      <c r="C46" s="352" t="s">
        <v>259</v>
      </c>
      <c r="D46" s="365"/>
      <c r="E46" s="664"/>
      <c r="F46" s="653"/>
      <c r="G46" s="214" t="s">
        <v>260</v>
      </c>
      <c r="H46" s="215"/>
      <c r="I46" s="356"/>
      <c r="J46" s="91">
        <f t="shared" si="4"/>
        <v>0</v>
      </c>
      <c r="K46" s="679"/>
      <c r="L46" s="158" t="s">
        <v>261</v>
      </c>
      <c r="M46" s="115"/>
    </row>
    <row r="47" spans="1:13" ht="15.75">
      <c r="A47" s="111">
        <v>27</v>
      </c>
      <c r="B47" s="546" t="s">
        <v>262</v>
      </c>
      <c r="C47" s="395" t="s">
        <v>263</v>
      </c>
      <c r="D47" s="428" t="s">
        <v>216</v>
      </c>
      <c r="E47" s="654"/>
      <c r="F47" s="655"/>
      <c r="G47" s="151" t="s">
        <v>171</v>
      </c>
      <c r="H47" s="509" t="s">
        <v>142</v>
      </c>
      <c r="I47" s="429">
        <v>75</v>
      </c>
      <c r="J47" s="91">
        <f t="shared" si="4"/>
        <v>0</v>
      </c>
      <c r="K47" s="672"/>
      <c r="L47" s="161">
        <f>K47/10</f>
        <v>0</v>
      </c>
      <c r="M47" s="152">
        <f t="shared" ref="M47:M49" si="9">I47*K47</f>
        <v>0</v>
      </c>
    </row>
    <row r="48" spans="1:13" ht="15.75">
      <c r="A48" s="111"/>
      <c r="B48" s="548"/>
      <c r="C48" s="395" t="s">
        <v>264</v>
      </c>
      <c r="D48" s="428" t="s">
        <v>179</v>
      </c>
      <c r="E48" s="654"/>
      <c r="F48" s="655"/>
      <c r="G48" s="151"/>
      <c r="H48" s="509" t="s">
        <v>142</v>
      </c>
      <c r="I48" s="429">
        <v>128</v>
      </c>
      <c r="J48" s="91">
        <f t="shared" si="4"/>
        <v>0</v>
      </c>
      <c r="K48" s="672"/>
      <c r="L48" s="161">
        <f>K48/5</f>
        <v>0</v>
      </c>
      <c r="M48" s="152">
        <f t="shared" si="9"/>
        <v>0</v>
      </c>
    </row>
    <row r="49" spans="1:13" ht="15.75">
      <c r="A49" s="111">
        <v>28</v>
      </c>
      <c r="B49" s="427" t="s">
        <v>265</v>
      </c>
      <c r="C49" s="395" t="s">
        <v>266</v>
      </c>
      <c r="D49" s="428" t="s">
        <v>267</v>
      </c>
      <c r="E49" s="654"/>
      <c r="F49" s="655"/>
      <c r="G49" s="151" t="s">
        <v>268</v>
      </c>
      <c r="H49" s="509" t="s">
        <v>269</v>
      </c>
      <c r="I49" s="429">
        <v>25</v>
      </c>
      <c r="J49" s="106">
        <f t="shared" si="4"/>
        <v>0</v>
      </c>
      <c r="K49" s="672"/>
      <c r="L49" s="161">
        <f>K49/40</f>
        <v>0</v>
      </c>
      <c r="M49" s="152">
        <f t="shared" si="9"/>
        <v>0</v>
      </c>
    </row>
    <row r="50" spans="1:13" ht="15.75">
      <c r="A50" s="111"/>
      <c r="B50" s="917" t="s">
        <v>270</v>
      </c>
      <c r="C50" s="915"/>
      <c r="D50" s="915"/>
      <c r="E50" s="918"/>
      <c r="F50" s="163"/>
      <c r="G50" s="919" t="s">
        <v>271</v>
      </c>
      <c r="H50" s="915"/>
      <c r="I50" s="915"/>
      <c r="J50" s="915"/>
      <c r="K50" s="915"/>
      <c r="L50" s="915"/>
      <c r="M50" s="916"/>
    </row>
    <row r="51" spans="1:13" ht="24">
      <c r="A51" s="111">
        <v>29</v>
      </c>
      <c r="B51" s="427"/>
      <c r="C51" s="86" t="s">
        <v>272</v>
      </c>
      <c r="D51" s="164" t="s">
        <v>273</v>
      </c>
      <c r="E51" s="671"/>
      <c r="F51" s="655"/>
      <c r="G51" s="165" t="s">
        <v>274</v>
      </c>
      <c r="H51" s="296" t="s">
        <v>142</v>
      </c>
      <c r="I51" s="166">
        <v>40</v>
      </c>
      <c r="J51" s="91">
        <f t="shared" ref="J51:J54" si="10">(K51*8%)+K51</f>
        <v>0</v>
      </c>
      <c r="K51" s="672"/>
      <c r="L51" s="92">
        <f t="shared" ref="L51:L54" si="11">K51/48</f>
        <v>0</v>
      </c>
      <c r="M51" s="93">
        <f t="shared" ref="M51:M54" si="12">K51*I51</f>
        <v>0</v>
      </c>
    </row>
    <row r="52" spans="1:13" ht="24">
      <c r="A52" s="111">
        <v>30</v>
      </c>
      <c r="B52" s="299"/>
      <c r="C52" s="86" t="s">
        <v>275</v>
      </c>
      <c r="D52" s="164" t="s">
        <v>273</v>
      </c>
      <c r="E52" s="671"/>
      <c r="F52" s="655"/>
      <c r="G52" s="165" t="s">
        <v>276</v>
      </c>
      <c r="H52" s="296" t="s">
        <v>142</v>
      </c>
      <c r="I52" s="166">
        <v>18</v>
      </c>
      <c r="J52" s="91">
        <f t="shared" si="10"/>
        <v>0</v>
      </c>
      <c r="K52" s="672"/>
      <c r="L52" s="92">
        <f t="shared" si="11"/>
        <v>0</v>
      </c>
      <c r="M52" s="93">
        <f t="shared" si="12"/>
        <v>0</v>
      </c>
    </row>
    <row r="53" spans="1:13" ht="24">
      <c r="A53" s="111">
        <v>31</v>
      </c>
      <c r="B53" s="299"/>
      <c r="C53" s="86" t="s">
        <v>277</v>
      </c>
      <c r="D53" s="164" t="s">
        <v>273</v>
      </c>
      <c r="E53" s="671"/>
      <c r="F53" s="655"/>
      <c r="G53" s="165" t="s">
        <v>278</v>
      </c>
      <c r="H53" s="296" t="s">
        <v>142</v>
      </c>
      <c r="I53" s="166">
        <v>17</v>
      </c>
      <c r="J53" s="91">
        <f t="shared" si="10"/>
        <v>0</v>
      </c>
      <c r="K53" s="672"/>
      <c r="L53" s="92">
        <f t="shared" si="11"/>
        <v>0</v>
      </c>
      <c r="M53" s="93">
        <f t="shared" si="12"/>
        <v>0</v>
      </c>
    </row>
    <row r="54" spans="1:13" ht="24">
      <c r="A54" s="111">
        <v>32</v>
      </c>
      <c r="B54" s="299"/>
      <c r="C54" s="86" t="s">
        <v>279</v>
      </c>
      <c r="D54" s="164" t="s">
        <v>273</v>
      </c>
      <c r="E54" s="671"/>
      <c r="F54" s="655"/>
      <c r="G54" s="165" t="s">
        <v>280</v>
      </c>
      <c r="H54" s="509" t="s">
        <v>142</v>
      </c>
      <c r="I54" s="166">
        <v>18</v>
      </c>
      <c r="J54" s="127">
        <f t="shared" si="10"/>
        <v>0</v>
      </c>
      <c r="K54" s="672"/>
      <c r="L54" s="92">
        <f t="shared" si="11"/>
        <v>0</v>
      </c>
      <c r="M54" s="93">
        <f t="shared" si="12"/>
        <v>0</v>
      </c>
    </row>
    <row r="55" spans="1:13">
      <c r="A55" s="111"/>
      <c r="B55" s="920" t="s">
        <v>281</v>
      </c>
      <c r="C55" s="921"/>
      <c r="D55" s="921"/>
      <c r="E55" s="921"/>
      <c r="F55" s="921"/>
      <c r="G55" s="921"/>
      <c r="H55" s="921"/>
      <c r="I55" s="921"/>
      <c r="J55" s="921"/>
      <c r="K55" s="921"/>
      <c r="L55" s="921"/>
      <c r="M55" s="922"/>
    </row>
    <row r="56" spans="1:13" ht="23.25">
      <c r="A56" s="111"/>
      <c r="B56" s="923" t="s">
        <v>282</v>
      </c>
      <c r="C56" s="924"/>
      <c r="D56" s="924"/>
      <c r="E56" s="924"/>
      <c r="F56" s="924"/>
      <c r="G56" s="924"/>
      <c r="H56" s="924"/>
      <c r="I56" s="924"/>
      <c r="J56" s="167"/>
      <c r="K56" s="925">
        <f>SUM(M3:M54)</f>
        <v>0</v>
      </c>
      <c r="L56" s="924"/>
      <c r="M56" s="926"/>
    </row>
    <row r="57" spans="1:13" ht="42" customHeight="1">
      <c r="A57" s="111"/>
      <c r="B57" s="912" t="s">
        <v>283</v>
      </c>
      <c r="C57" s="913"/>
      <c r="D57" s="913"/>
      <c r="E57" s="913"/>
      <c r="F57" s="913"/>
      <c r="G57" s="913"/>
      <c r="H57" s="913"/>
      <c r="I57" s="913"/>
      <c r="J57" s="913"/>
      <c r="K57" s="913"/>
      <c r="L57" s="913"/>
      <c r="M57" s="913"/>
    </row>
    <row r="58" spans="1:13">
      <c r="A58" s="111"/>
    </row>
    <row r="59" spans="1:13">
      <c r="A59" s="111"/>
    </row>
    <row r="60" spans="1:13">
      <c r="A60" s="111"/>
    </row>
    <row r="61" spans="1:13">
      <c r="A61" s="111"/>
    </row>
    <row r="62" spans="1:13">
      <c r="A62" s="111"/>
    </row>
    <row r="63" spans="1:13">
      <c r="A63" s="111"/>
    </row>
    <row r="64" spans="1:13">
      <c r="A64" s="111"/>
    </row>
    <row r="65" spans="1:1">
      <c r="A65" s="111"/>
    </row>
    <row r="66" spans="1:1">
      <c r="A66" s="111"/>
    </row>
    <row r="67" spans="1:1">
      <c r="A67" s="111"/>
    </row>
    <row r="68" spans="1:1">
      <c r="A68" s="111"/>
    </row>
    <row r="69" spans="1:1">
      <c r="A69" s="111"/>
    </row>
    <row r="70" spans="1:1">
      <c r="A70" s="111"/>
    </row>
    <row r="71" spans="1:1">
      <c r="A71" s="111"/>
    </row>
    <row r="72" spans="1:1">
      <c r="A72" s="111"/>
    </row>
    <row r="73" spans="1:1">
      <c r="A73" s="111"/>
    </row>
    <row r="74" spans="1:1">
      <c r="A74" s="111"/>
    </row>
    <row r="75" spans="1:1">
      <c r="A75" s="111"/>
    </row>
    <row r="76" spans="1:1">
      <c r="A76" s="111"/>
    </row>
    <row r="77" spans="1:1">
      <c r="A77" s="111"/>
    </row>
    <row r="78" spans="1:1">
      <c r="A78" s="111"/>
    </row>
    <row r="79" spans="1:1">
      <c r="A79" s="111"/>
    </row>
    <row r="80" spans="1:1">
      <c r="A80" s="111"/>
    </row>
    <row r="81" spans="1:1">
      <c r="A81" s="111"/>
    </row>
    <row r="82" spans="1:1">
      <c r="A82" s="111"/>
    </row>
    <row r="83" spans="1:1">
      <c r="A83" s="111"/>
    </row>
    <row r="84" spans="1:1">
      <c r="A84" s="111"/>
    </row>
    <row r="85" spans="1:1">
      <c r="A85" s="111"/>
    </row>
    <row r="86" spans="1:1">
      <c r="A86" s="111"/>
    </row>
    <row r="87" spans="1:1">
      <c r="A87" s="111"/>
    </row>
    <row r="88" spans="1:1">
      <c r="A88" s="111"/>
    </row>
    <row r="89" spans="1:1">
      <c r="A89" s="111"/>
    </row>
    <row r="90" spans="1:1">
      <c r="A90" s="111"/>
    </row>
    <row r="91" spans="1:1">
      <c r="A91" s="111"/>
    </row>
    <row r="92" spans="1:1">
      <c r="A92" s="111"/>
    </row>
    <row r="93" spans="1:1">
      <c r="A93" s="111"/>
    </row>
    <row r="94" spans="1:1">
      <c r="A94" s="111"/>
    </row>
    <row r="95" spans="1:1">
      <c r="A95" s="111"/>
    </row>
    <row r="96" spans="1:1">
      <c r="A96" s="111"/>
    </row>
    <row r="97" spans="1:1">
      <c r="A97" s="111"/>
    </row>
    <row r="98" spans="1:1">
      <c r="A98" s="111"/>
    </row>
    <row r="99" spans="1:1">
      <c r="A99" s="111"/>
    </row>
    <row r="100" spans="1:1">
      <c r="A100" s="111"/>
    </row>
    <row r="101" spans="1:1">
      <c r="A101" s="111"/>
    </row>
    <row r="102" spans="1:1">
      <c r="A102" s="111"/>
    </row>
    <row r="103" spans="1:1">
      <c r="A103" s="111"/>
    </row>
    <row r="104" spans="1:1">
      <c r="A104" s="111"/>
    </row>
    <row r="105" spans="1:1">
      <c r="A105" s="111"/>
    </row>
    <row r="106" spans="1:1">
      <c r="A106" s="111"/>
    </row>
    <row r="107" spans="1:1">
      <c r="A107" s="111"/>
    </row>
    <row r="108" spans="1:1">
      <c r="A108" s="111"/>
    </row>
    <row r="109" spans="1:1">
      <c r="A109" s="111"/>
    </row>
    <row r="110" spans="1:1">
      <c r="A110" s="111"/>
    </row>
    <row r="111" spans="1:1">
      <c r="A111" s="111"/>
    </row>
    <row r="112" spans="1:1">
      <c r="A112" s="111"/>
    </row>
    <row r="113" spans="1:1">
      <c r="A113" s="111"/>
    </row>
    <row r="114" spans="1:1">
      <c r="A114" s="111"/>
    </row>
    <row r="115" spans="1:1">
      <c r="A115" s="111"/>
    </row>
    <row r="116" spans="1:1">
      <c r="A116" s="111"/>
    </row>
    <row r="117" spans="1:1">
      <c r="A117" s="111"/>
    </row>
    <row r="118" spans="1:1">
      <c r="A118" s="111"/>
    </row>
    <row r="119" spans="1:1">
      <c r="A119" s="111"/>
    </row>
    <row r="120" spans="1:1">
      <c r="A120" s="111"/>
    </row>
    <row r="121" spans="1:1">
      <c r="A121" s="111"/>
    </row>
    <row r="122" spans="1:1">
      <c r="A122" s="111"/>
    </row>
    <row r="123" spans="1:1">
      <c r="A123" s="111"/>
    </row>
    <row r="124" spans="1:1">
      <c r="A124" s="111"/>
    </row>
    <row r="125" spans="1:1">
      <c r="A125" s="111"/>
    </row>
    <row r="126" spans="1:1">
      <c r="A126" s="111"/>
    </row>
    <row r="127" spans="1:1">
      <c r="A127" s="111"/>
    </row>
    <row r="128" spans="1:1">
      <c r="A128" s="111"/>
    </row>
    <row r="129" spans="1:1">
      <c r="A129" s="111"/>
    </row>
    <row r="130" spans="1:1">
      <c r="A130" s="111"/>
    </row>
    <row r="131" spans="1:1">
      <c r="A131" s="111"/>
    </row>
    <row r="132" spans="1:1">
      <c r="A132" s="111"/>
    </row>
    <row r="133" spans="1:1">
      <c r="A133" s="111"/>
    </row>
    <row r="134" spans="1:1">
      <c r="A134" s="111"/>
    </row>
    <row r="135" spans="1:1">
      <c r="A135" s="111"/>
    </row>
    <row r="136" spans="1:1">
      <c r="A136" s="111"/>
    </row>
    <row r="137" spans="1:1">
      <c r="A137" s="111"/>
    </row>
    <row r="138" spans="1:1">
      <c r="A138" s="111"/>
    </row>
    <row r="139" spans="1:1">
      <c r="A139" s="111"/>
    </row>
    <row r="140" spans="1:1">
      <c r="A140" s="111"/>
    </row>
    <row r="141" spans="1:1">
      <c r="A141" s="111"/>
    </row>
    <row r="142" spans="1:1">
      <c r="A142" s="111"/>
    </row>
    <row r="143" spans="1:1">
      <c r="A143" s="111"/>
    </row>
    <row r="144" spans="1:1">
      <c r="A144" s="111"/>
    </row>
    <row r="145" spans="1:1">
      <c r="A145" s="111"/>
    </row>
    <row r="146" spans="1:1">
      <c r="A146" s="111"/>
    </row>
    <row r="147" spans="1:1">
      <c r="A147" s="111"/>
    </row>
    <row r="148" spans="1:1">
      <c r="A148" s="111"/>
    </row>
    <row r="149" spans="1:1">
      <c r="A149" s="111"/>
    </row>
    <row r="150" spans="1:1">
      <c r="A150" s="111"/>
    </row>
    <row r="151" spans="1:1">
      <c r="A151" s="111"/>
    </row>
    <row r="152" spans="1:1">
      <c r="A152" s="111"/>
    </row>
    <row r="153" spans="1:1">
      <c r="A153" s="111"/>
    </row>
    <row r="154" spans="1:1">
      <c r="A154" s="111"/>
    </row>
    <row r="155" spans="1:1">
      <c r="A155" s="111"/>
    </row>
    <row r="156" spans="1:1">
      <c r="A156" s="111"/>
    </row>
    <row r="157" spans="1:1">
      <c r="A157" s="111"/>
    </row>
    <row r="158" spans="1:1">
      <c r="A158" s="111"/>
    </row>
    <row r="159" spans="1:1">
      <c r="A159" s="111"/>
    </row>
    <row r="160" spans="1:1">
      <c r="A160" s="111"/>
    </row>
    <row r="161" spans="1:1">
      <c r="A161" s="111"/>
    </row>
    <row r="162" spans="1:1">
      <c r="A162" s="111"/>
    </row>
    <row r="163" spans="1:1">
      <c r="A163" s="111"/>
    </row>
    <row r="164" spans="1:1">
      <c r="A164" s="111"/>
    </row>
    <row r="165" spans="1:1">
      <c r="A165" s="111"/>
    </row>
    <row r="166" spans="1:1">
      <c r="A166" s="111"/>
    </row>
    <row r="167" spans="1:1">
      <c r="A167" s="111"/>
    </row>
    <row r="168" spans="1:1">
      <c r="A168" s="111"/>
    </row>
    <row r="169" spans="1:1">
      <c r="A169" s="111"/>
    </row>
    <row r="170" spans="1:1">
      <c r="A170" s="111"/>
    </row>
    <row r="171" spans="1:1">
      <c r="A171" s="111"/>
    </row>
    <row r="172" spans="1:1">
      <c r="A172" s="111"/>
    </row>
    <row r="173" spans="1:1">
      <c r="A173" s="111"/>
    </row>
    <row r="174" spans="1:1">
      <c r="A174" s="111"/>
    </row>
    <row r="175" spans="1:1">
      <c r="A175" s="111"/>
    </row>
    <row r="176" spans="1:1">
      <c r="A176" s="111"/>
    </row>
    <row r="177" spans="1:1">
      <c r="A177" s="111"/>
    </row>
    <row r="178" spans="1:1">
      <c r="A178" s="111"/>
    </row>
    <row r="179" spans="1:1">
      <c r="A179" s="111"/>
    </row>
    <row r="180" spans="1:1">
      <c r="A180" s="111"/>
    </row>
    <row r="181" spans="1:1">
      <c r="A181" s="111"/>
    </row>
    <row r="182" spans="1:1">
      <c r="A182" s="111"/>
    </row>
    <row r="183" spans="1:1">
      <c r="A183" s="111"/>
    </row>
    <row r="184" spans="1:1">
      <c r="A184" s="111"/>
    </row>
    <row r="185" spans="1:1">
      <c r="A185" s="111"/>
    </row>
    <row r="186" spans="1:1">
      <c r="A186" s="111"/>
    </row>
    <row r="187" spans="1:1">
      <c r="A187" s="111"/>
    </row>
    <row r="188" spans="1:1">
      <c r="A188" s="111"/>
    </row>
    <row r="189" spans="1:1">
      <c r="A189" s="111"/>
    </row>
    <row r="190" spans="1:1">
      <c r="A190" s="111"/>
    </row>
    <row r="191" spans="1:1">
      <c r="A191" s="111"/>
    </row>
    <row r="192" spans="1:1">
      <c r="A192" s="111"/>
    </row>
    <row r="193" spans="1:1">
      <c r="A193" s="111"/>
    </row>
    <row r="194" spans="1:1">
      <c r="A194" s="111"/>
    </row>
    <row r="195" spans="1:1">
      <c r="A195" s="111"/>
    </row>
    <row r="196" spans="1:1">
      <c r="A196" s="111"/>
    </row>
    <row r="197" spans="1:1">
      <c r="A197" s="111"/>
    </row>
    <row r="198" spans="1:1">
      <c r="A198" s="111"/>
    </row>
    <row r="199" spans="1:1">
      <c r="A199" s="111"/>
    </row>
    <row r="200" spans="1:1">
      <c r="A200" s="111"/>
    </row>
    <row r="201" spans="1:1">
      <c r="A201" s="111"/>
    </row>
    <row r="202" spans="1:1">
      <c r="A202" s="111"/>
    </row>
    <row r="203" spans="1:1">
      <c r="A203" s="111"/>
    </row>
    <row r="204" spans="1:1">
      <c r="A204" s="111"/>
    </row>
    <row r="205" spans="1:1">
      <c r="A205" s="111"/>
    </row>
    <row r="206" spans="1:1">
      <c r="A206" s="111"/>
    </row>
    <row r="207" spans="1:1">
      <c r="A207" s="111"/>
    </row>
    <row r="208" spans="1:1">
      <c r="A208" s="111"/>
    </row>
    <row r="209" spans="1:1">
      <c r="A209" s="111"/>
    </row>
    <row r="210" spans="1:1">
      <c r="A210" s="111"/>
    </row>
    <row r="211" spans="1:1">
      <c r="A211" s="111"/>
    </row>
    <row r="212" spans="1:1">
      <c r="A212" s="111"/>
    </row>
    <row r="213" spans="1:1">
      <c r="A213" s="111"/>
    </row>
    <row r="214" spans="1:1">
      <c r="A214" s="111"/>
    </row>
    <row r="215" spans="1:1">
      <c r="A215" s="111"/>
    </row>
    <row r="216" spans="1:1">
      <c r="A216" s="111"/>
    </row>
    <row r="217" spans="1:1">
      <c r="A217" s="111"/>
    </row>
    <row r="218" spans="1:1">
      <c r="A218" s="111"/>
    </row>
    <row r="219" spans="1:1">
      <c r="A219" s="111"/>
    </row>
    <row r="220" spans="1:1">
      <c r="A220" s="111"/>
    </row>
    <row r="221" spans="1:1">
      <c r="A221" s="111"/>
    </row>
    <row r="222" spans="1:1">
      <c r="A222" s="111"/>
    </row>
    <row r="223" spans="1:1">
      <c r="A223" s="111"/>
    </row>
    <row r="224" spans="1:1">
      <c r="A224" s="111"/>
    </row>
    <row r="225" spans="1:1">
      <c r="A225" s="111"/>
    </row>
    <row r="226" spans="1:1">
      <c r="A226" s="111"/>
    </row>
    <row r="227" spans="1:1">
      <c r="A227" s="111"/>
    </row>
    <row r="228" spans="1:1">
      <c r="A228" s="111"/>
    </row>
    <row r="229" spans="1:1">
      <c r="A229" s="111"/>
    </row>
    <row r="230" spans="1:1">
      <c r="A230" s="111"/>
    </row>
    <row r="231" spans="1:1">
      <c r="A231" s="111"/>
    </row>
    <row r="232" spans="1:1">
      <c r="A232" s="111"/>
    </row>
    <row r="233" spans="1:1">
      <c r="A233" s="111"/>
    </row>
    <row r="234" spans="1:1">
      <c r="A234" s="111"/>
    </row>
    <row r="235" spans="1:1">
      <c r="A235" s="111"/>
    </row>
    <row r="236" spans="1:1">
      <c r="A236" s="111"/>
    </row>
    <row r="237" spans="1:1">
      <c r="A237" s="111"/>
    </row>
    <row r="238" spans="1:1">
      <c r="A238" s="111"/>
    </row>
    <row r="239" spans="1:1">
      <c r="A239" s="111"/>
    </row>
    <row r="240" spans="1:1">
      <c r="A240" s="111"/>
    </row>
    <row r="241" spans="1:1">
      <c r="A241" s="111"/>
    </row>
    <row r="242" spans="1:1">
      <c r="A242" s="111"/>
    </row>
    <row r="243" spans="1:1">
      <c r="A243" s="111"/>
    </row>
    <row r="244" spans="1:1">
      <c r="A244" s="111"/>
    </row>
    <row r="245" spans="1:1">
      <c r="A245" s="111"/>
    </row>
    <row r="246" spans="1:1">
      <c r="A246" s="111"/>
    </row>
    <row r="247" spans="1:1">
      <c r="A247" s="111"/>
    </row>
    <row r="248" spans="1:1">
      <c r="A248" s="111"/>
    </row>
    <row r="249" spans="1:1">
      <c r="A249" s="111"/>
    </row>
    <row r="250" spans="1:1">
      <c r="A250" s="111"/>
    </row>
    <row r="251" spans="1:1">
      <c r="A251" s="111"/>
    </row>
    <row r="252" spans="1:1">
      <c r="A252" s="111"/>
    </row>
    <row r="253" spans="1:1">
      <c r="A253" s="111"/>
    </row>
    <row r="254" spans="1:1">
      <c r="A254" s="111"/>
    </row>
    <row r="255" spans="1:1">
      <c r="A255" s="111"/>
    </row>
    <row r="256" spans="1:1">
      <c r="A256" s="111"/>
    </row>
    <row r="257" spans="1:1">
      <c r="A257" s="111"/>
    </row>
    <row r="258" spans="1:1">
      <c r="A258" s="111"/>
    </row>
    <row r="259" spans="1:1">
      <c r="A259" s="111"/>
    </row>
    <row r="260" spans="1:1">
      <c r="A260" s="111"/>
    </row>
    <row r="261" spans="1:1">
      <c r="A261" s="111"/>
    </row>
    <row r="262" spans="1:1">
      <c r="A262" s="111"/>
    </row>
    <row r="263" spans="1:1">
      <c r="A263" s="111"/>
    </row>
    <row r="264" spans="1:1">
      <c r="A264" s="111"/>
    </row>
    <row r="265" spans="1:1">
      <c r="A265" s="111"/>
    </row>
    <row r="266" spans="1:1">
      <c r="A266" s="111"/>
    </row>
    <row r="267" spans="1:1">
      <c r="A267" s="111"/>
    </row>
    <row r="268" spans="1:1">
      <c r="A268" s="111"/>
    </row>
    <row r="269" spans="1:1">
      <c r="A269" s="111"/>
    </row>
    <row r="270" spans="1:1">
      <c r="A270" s="111"/>
    </row>
    <row r="271" spans="1:1">
      <c r="A271" s="111"/>
    </row>
    <row r="272" spans="1:1">
      <c r="A272" s="111"/>
    </row>
    <row r="273" spans="1:1">
      <c r="A273" s="111"/>
    </row>
    <row r="274" spans="1:1">
      <c r="A274" s="111"/>
    </row>
    <row r="275" spans="1:1">
      <c r="A275" s="111"/>
    </row>
    <row r="276" spans="1:1">
      <c r="A276" s="111"/>
    </row>
    <row r="277" spans="1:1">
      <c r="A277" s="111"/>
    </row>
    <row r="278" spans="1:1">
      <c r="A278" s="111"/>
    </row>
    <row r="279" spans="1:1">
      <c r="A279" s="111"/>
    </row>
    <row r="280" spans="1:1">
      <c r="A280" s="111"/>
    </row>
    <row r="281" spans="1:1">
      <c r="A281" s="111"/>
    </row>
    <row r="282" spans="1:1">
      <c r="A282" s="111"/>
    </row>
    <row r="283" spans="1:1">
      <c r="A283" s="111"/>
    </row>
    <row r="284" spans="1:1">
      <c r="A284" s="111"/>
    </row>
    <row r="285" spans="1:1">
      <c r="A285" s="111"/>
    </row>
    <row r="286" spans="1:1">
      <c r="A286" s="111"/>
    </row>
    <row r="287" spans="1:1">
      <c r="A287" s="111"/>
    </row>
    <row r="288" spans="1:1">
      <c r="A288" s="111"/>
    </row>
    <row r="289" spans="1:1">
      <c r="A289" s="111"/>
    </row>
    <row r="290" spans="1:1">
      <c r="A290" s="111"/>
    </row>
    <row r="291" spans="1:1">
      <c r="A291" s="111"/>
    </row>
    <row r="292" spans="1:1">
      <c r="A292" s="111"/>
    </row>
    <row r="293" spans="1:1">
      <c r="A293" s="111"/>
    </row>
    <row r="294" spans="1:1">
      <c r="A294" s="111"/>
    </row>
    <row r="295" spans="1:1">
      <c r="A295" s="111"/>
    </row>
    <row r="296" spans="1:1">
      <c r="A296" s="111"/>
    </row>
    <row r="297" spans="1:1">
      <c r="A297" s="111"/>
    </row>
    <row r="298" spans="1:1">
      <c r="A298" s="111"/>
    </row>
    <row r="299" spans="1:1">
      <c r="A299" s="111"/>
    </row>
    <row r="300" spans="1:1">
      <c r="A300" s="111"/>
    </row>
    <row r="301" spans="1:1">
      <c r="A301" s="111"/>
    </row>
    <row r="302" spans="1:1">
      <c r="A302" s="111"/>
    </row>
    <row r="303" spans="1:1">
      <c r="A303" s="111"/>
    </row>
    <row r="304" spans="1:1">
      <c r="A304" s="111"/>
    </row>
    <row r="305" spans="1:1">
      <c r="A305" s="111"/>
    </row>
    <row r="306" spans="1:1">
      <c r="A306" s="111"/>
    </row>
    <row r="307" spans="1:1">
      <c r="A307" s="111"/>
    </row>
    <row r="308" spans="1:1">
      <c r="A308" s="111"/>
    </row>
    <row r="309" spans="1:1">
      <c r="A309" s="111"/>
    </row>
    <row r="310" spans="1:1">
      <c r="A310" s="111"/>
    </row>
    <row r="311" spans="1:1">
      <c r="A311" s="111"/>
    </row>
    <row r="312" spans="1:1">
      <c r="A312" s="111"/>
    </row>
    <row r="313" spans="1:1">
      <c r="A313" s="111"/>
    </row>
    <row r="314" spans="1:1">
      <c r="A314" s="111"/>
    </row>
    <row r="315" spans="1:1">
      <c r="A315" s="111"/>
    </row>
    <row r="316" spans="1:1">
      <c r="A316" s="111"/>
    </row>
    <row r="317" spans="1:1">
      <c r="A317" s="111"/>
    </row>
    <row r="318" spans="1:1">
      <c r="A318" s="111"/>
    </row>
    <row r="319" spans="1:1">
      <c r="A319" s="111"/>
    </row>
    <row r="320" spans="1:1">
      <c r="A320" s="111"/>
    </row>
    <row r="321" spans="1:1">
      <c r="A321" s="111"/>
    </row>
    <row r="322" spans="1:1">
      <c r="A322" s="111"/>
    </row>
    <row r="323" spans="1:1">
      <c r="A323" s="111"/>
    </row>
    <row r="324" spans="1:1">
      <c r="A324" s="111"/>
    </row>
    <row r="325" spans="1:1">
      <c r="A325" s="111"/>
    </row>
    <row r="326" spans="1:1">
      <c r="A326" s="111"/>
    </row>
    <row r="327" spans="1:1">
      <c r="A327" s="111"/>
    </row>
    <row r="328" spans="1:1">
      <c r="A328" s="111"/>
    </row>
    <row r="329" spans="1:1">
      <c r="A329" s="111"/>
    </row>
    <row r="330" spans="1:1">
      <c r="A330" s="111"/>
    </row>
    <row r="331" spans="1:1">
      <c r="A331" s="111"/>
    </row>
    <row r="332" spans="1:1">
      <c r="A332" s="111"/>
    </row>
    <row r="333" spans="1:1">
      <c r="A333" s="111"/>
    </row>
    <row r="334" spans="1:1">
      <c r="A334" s="111"/>
    </row>
    <row r="335" spans="1:1">
      <c r="A335" s="111"/>
    </row>
    <row r="336" spans="1:1">
      <c r="A336" s="111"/>
    </row>
    <row r="337" spans="1:1">
      <c r="A337" s="111"/>
    </row>
    <row r="338" spans="1:1">
      <c r="A338" s="111"/>
    </row>
    <row r="339" spans="1:1">
      <c r="A339" s="111"/>
    </row>
    <row r="340" spans="1:1">
      <c r="A340" s="111"/>
    </row>
    <row r="341" spans="1:1">
      <c r="A341" s="111"/>
    </row>
    <row r="342" spans="1:1">
      <c r="A342" s="111"/>
    </row>
    <row r="343" spans="1:1">
      <c r="A343" s="111"/>
    </row>
    <row r="344" spans="1:1">
      <c r="A344" s="111"/>
    </row>
    <row r="345" spans="1:1">
      <c r="A345" s="111"/>
    </row>
    <row r="346" spans="1:1">
      <c r="A346" s="111"/>
    </row>
    <row r="347" spans="1:1">
      <c r="A347" s="111"/>
    </row>
    <row r="348" spans="1:1">
      <c r="A348" s="111"/>
    </row>
    <row r="349" spans="1:1">
      <c r="A349" s="111"/>
    </row>
    <row r="350" spans="1:1">
      <c r="A350" s="111"/>
    </row>
    <row r="351" spans="1:1">
      <c r="A351" s="111"/>
    </row>
    <row r="352" spans="1:1">
      <c r="A352" s="111"/>
    </row>
    <row r="353" spans="1:1">
      <c r="A353" s="111"/>
    </row>
    <row r="354" spans="1:1">
      <c r="A354" s="111"/>
    </row>
    <row r="355" spans="1:1">
      <c r="A355" s="111"/>
    </row>
    <row r="356" spans="1:1">
      <c r="A356" s="111"/>
    </row>
    <row r="357" spans="1:1">
      <c r="A357" s="111"/>
    </row>
    <row r="358" spans="1:1">
      <c r="A358" s="111"/>
    </row>
    <row r="359" spans="1:1">
      <c r="A359" s="111"/>
    </row>
    <row r="360" spans="1:1">
      <c r="A360" s="111"/>
    </row>
    <row r="361" spans="1:1">
      <c r="A361" s="111"/>
    </row>
    <row r="362" spans="1:1">
      <c r="A362" s="111"/>
    </row>
    <row r="363" spans="1:1">
      <c r="A363" s="111"/>
    </row>
    <row r="364" spans="1:1">
      <c r="A364" s="111"/>
    </row>
    <row r="365" spans="1:1">
      <c r="A365" s="111"/>
    </row>
    <row r="366" spans="1:1">
      <c r="A366" s="111"/>
    </row>
    <row r="367" spans="1:1">
      <c r="A367" s="111"/>
    </row>
    <row r="368" spans="1:1">
      <c r="A368" s="111"/>
    </row>
    <row r="369" spans="1:1">
      <c r="A369" s="111"/>
    </row>
    <row r="370" spans="1:1">
      <c r="A370" s="111"/>
    </row>
    <row r="371" spans="1:1">
      <c r="A371" s="111"/>
    </row>
    <row r="372" spans="1:1">
      <c r="A372" s="111"/>
    </row>
    <row r="373" spans="1:1">
      <c r="A373" s="111"/>
    </row>
    <row r="374" spans="1:1">
      <c r="A374" s="111"/>
    </row>
    <row r="375" spans="1:1">
      <c r="A375" s="111"/>
    </row>
    <row r="376" spans="1:1">
      <c r="A376" s="111"/>
    </row>
    <row r="377" spans="1:1">
      <c r="A377" s="111"/>
    </row>
    <row r="378" spans="1:1">
      <c r="A378" s="111"/>
    </row>
    <row r="379" spans="1:1">
      <c r="A379" s="111"/>
    </row>
    <row r="380" spans="1:1">
      <c r="A380" s="111"/>
    </row>
    <row r="381" spans="1:1">
      <c r="A381" s="111"/>
    </row>
    <row r="382" spans="1:1">
      <c r="A382" s="111"/>
    </row>
    <row r="383" spans="1:1">
      <c r="A383" s="111"/>
    </row>
    <row r="384" spans="1:1">
      <c r="A384" s="111"/>
    </row>
    <row r="385" spans="1:1">
      <c r="A385" s="111"/>
    </row>
    <row r="386" spans="1:1">
      <c r="A386" s="111"/>
    </row>
    <row r="387" spans="1:1">
      <c r="A387" s="111"/>
    </row>
    <row r="388" spans="1:1">
      <c r="A388" s="111"/>
    </row>
    <row r="389" spans="1:1">
      <c r="A389" s="111"/>
    </row>
    <row r="390" spans="1:1">
      <c r="A390" s="111"/>
    </row>
    <row r="391" spans="1:1">
      <c r="A391" s="111"/>
    </row>
    <row r="392" spans="1:1">
      <c r="A392" s="111"/>
    </row>
    <row r="393" spans="1:1">
      <c r="A393" s="111"/>
    </row>
    <row r="394" spans="1:1">
      <c r="A394" s="111"/>
    </row>
    <row r="395" spans="1:1">
      <c r="A395" s="111"/>
    </row>
    <row r="396" spans="1:1">
      <c r="A396" s="111"/>
    </row>
    <row r="397" spans="1:1">
      <c r="A397" s="111"/>
    </row>
    <row r="398" spans="1:1">
      <c r="A398" s="111"/>
    </row>
    <row r="399" spans="1:1">
      <c r="A399" s="111"/>
    </row>
    <row r="400" spans="1:1">
      <c r="A400" s="111"/>
    </row>
    <row r="401" spans="1:1">
      <c r="A401" s="111"/>
    </row>
    <row r="402" spans="1:1">
      <c r="A402" s="111"/>
    </row>
    <row r="403" spans="1:1">
      <c r="A403" s="111"/>
    </row>
    <row r="404" spans="1:1">
      <c r="A404" s="111"/>
    </row>
    <row r="405" spans="1:1">
      <c r="A405" s="111"/>
    </row>
    <row r="406" spans="1:1">
      <c r="A406" s="111"/>
    </row>
    <row r="407" spans="1:1">
      <c r="A407" s="111"/>
    </row>
    <row r="408" spans="1:1">
      <c r="A408" s="111"/>
    </row>
    <row r="409" spans="1:1">
      <c r="A409" s="111"/>
    </row>
    <row r="410" spans="1:1">
      <c r="A410" s="111"/>
    </row>
    <row r="411" spans="1:1">
      <c r="A411" s="111"/>
    </row>
    <row r="412" spans="1:1">
      <c r="A412" s="111"/>
    </row>
    <row r="413" spans="1:1">
      <c r="A413" s="111"/>
    </row>
    <row r="414" spans="1:1">
      <c r="A414" s="111"/>
    </row>
    <row r="415" spans="1:1">
      <c r="A415" s="111"/>
    </row>
    <row r="416" spans="1:1">
      <c r="A416" s="111"/>
    </row>
    <row r="417" spans="1:1">
      <c r="A417" s="111"/>
    </row>
    <row r="418" spans="1:1">
      <c r="A418" s="111"/>
    </row>
    <row r="419" spans="1:1">
      <c r="A419" s="111"/>
    </row>
    <row r="420" spans="1:1">
      <c r="A420" s="111"/>
    </row>
    <row r="421" spans="1:1">
      <c r="A421" s="111"/>
    </row>
    <row r="422" spans="1:1">
      <c r="A422" s="111"/>
    </row>
    <row r="423" spans="1:1">
      <c r="A423" s="111"/>
    </row>
    <row r="424" spans="1:1">
      <c r="A424" s="111"/>
    </row>
    <row r="425" spans="1:1">
      <c r="A425" s="111"/>
    </row>
    <row r="426" spans="1:1">
      <c r="A426" s="111"/>
    </row>
    <row r="427" spans="1:1">
      <c r="A427" s="111"/>
    </row>
    <row r="428" spans="1:1">
      <c r="A428" s="111"/>
    </row>
    <row r="429" spans="1:1">
      <c r="A429" s="111"/>
    </row>
    <row r="430" spans="1:1">
      <c r="A430" s="111"/>
    </row>
    <row r="431" spans="1:1">
      <c r="A431" s="111"/>
    </row>
    <row r="432" spans="1:1">
      <c r="A432" s="111"/>
    </row>
    <row r="433" spans="1:1">
      <c r="A433" s="111"/>
    </row>
    <row r="434" spans="1:1">
      <c r="A434" s="111"/>
    </row>
    <row r="435" spans="1:1">
      <c r="A435" s="111"/>
    </row>
    <row r="436" spans="1:1">
      <c r="A436" s="111"/>
    </row>
    <row r="437" spans="1:1">
      <c r="A437" s="111"/>
    </row>
    <row r="438" spans="1:1">
      <c r="A438" s="111"/>
    </row>
    <row r="439" spans="1:1">
      <c r="A439" s="111"/>
    </row>
    <row r="440" spans="1:1">
      <c r="A440" s="111"/>
    </row>
    <row r="441" spans="1:1">
      <c r="A441" s="111"/>
    </row>
    <row r="442" spans="1:1">
      <c r="A442" s="111"/>
    </row>
    <row r="443" spans="1:1">
      <c r="A443" s="111"/>
    </row>
    <row r="444" spans="1:1">
      <c r="A444" s="111"/>
    </row>
    <row r="445" spans="1:1">
      <c r="A445" s="111"/>
    </row>
    <row r="446" spans="1:1">
      <c r="A446" s="111"/>
    </row>
    <row r="447" spans="1:1">
      <c r="A447" s="111"/>
    </row>
    <row r="448" spans="1:1">
      <c r="A448" s="111"/>
    </row>
    <row r="449" spans="1:1">
      <c r="A449" s="111"/>
    </row>
    <row r="450" spans="1:1">
      <c r="A450" s="111"/>
    </row>
    <row r="451" spans="1:1">
      <c r="A451" s="111"/>
    </row>
    <row r="452" spans="1:1">
      <c r="A452" s="111"/>
    </row>
    <row r="453" spans="1:1">
      <c r="A453" s="111"/>
    </row>
    <row r="454" spans="1:1">
      <c r="A454" s="111"/>
    </row>
    <row r="455" spans="1:1">
      <c r="A455" s="111"/>
    </row>
    <row r="456" spans="1:1">
      <c r="A456" s="111"/>
    </row>
    <row r="457" spans="1:1">
      <c r="A457" s="111"/>
    </row>
    <row r="458" spans="1:1">
      <c r="A458" s="111"/>
    </row>
    <row r="459" spans="1:1">
      <c r="A459" s="111"/>
    </row>
    <row r="460" spans="1:1">
      <c r="A460" s="111"/>
    </row>
    <row r="461" spans="1:1">
      <c r="A461" s="111"/>
    </row>
    <row r="462" spans="1:1">
      <c r="A462" s="111"/>
    </row>
    <row r="463" spans="1:1">
      <c r="A463" s="111"/>
    </row>
    <row r="464" spans="1:1">
      <c r="A464" s="111"/>
    </row>
    <row r="465" spans="1:1">
      <c r="A465" s="111"/>
    </row>
    <row r="466" spans="1:1">
      <c r="A466" s="111"/>
    </row>
    <row r="467" spans="1:1">
      <c r="A467" s="111"/>
    </row>
    <row r="468" spans="1:1">
      <c r="A468" s="111"/>
    </row>
    <row r="469" spans="1:1">
      <c r="A469" s="111"/>
    </row>
    <row r="470" spans="1:1">
      <c r="A470" s="111"/>
    </row>
    <row r="471" spans="1:1">
      <c r="A471" s="111"/>
    </row>
    <row r="472" spans="1:1">
      <c r="A472" s="111"/>
    </row>
    <row r="473" spans="1:1">
      <c r="A473" s="111"/>
    </row>
    <row r="474" spans="1:1">
      <c r="A474" s="111"/>
    </row>
    <row r="475" spans="1:1">
      <c r="A475" s="111"/>
    </row>
    <row r="476" spans="1:1">
      <c r="A476" s="111"/>
    </row>
    <row r="477" spans="1:1">
      <c r="A477" s="111"/>
    </row>
    <row r="478" spans="1:1">
      <c r="A478" s="111"/>
    </row>
    <row r="479" spans="1:1">
      <c r="A479" s="111"/>
    </row>
    <row r="480" spans="1:1">
      <c r="A480" s="111"/>
    </row>
    <row r="481" spans="1:1">
      <c r="A481" s="111"/>
    </row>
    <row r="482" spans="1:1">
      <c r="A482" s="111"/>
    </row>
    <row r="483" spans="1:1">
      <c r="A483" s="111"/>
    </row>
    <row r="484" spans="1:1">
      <c r="A484" s="111"/>
    </row>
    <row r="485" spans="1:1">
      <c r="A485" s="111"/>
    </row>
    <row r="486" spans="1:1">
      <c r="A486" s="111"/>
    </row>
    <row r="487" spans="1:1">
      <c r="A487" s="111"/>
    </row>
    <row r="488" spans="1:1">
      <c r="A488" s="111"/>
    </row>
    <row r="489" spans="1:1">
      <c r="A489" s="111"/>
    </row>
    <row r="490" spans="1:1">
      <c r="A490" s="111"/>
    </row>
    <row r="491" spans="1:1">
      <c r="A491" s="111"/>
    </row>
    <row r="492" spans="1:1">
      <c r="A492" s="111"/>
    </row>
    <row r="493" spans="1:1">
      <c r="A493" s="111"/>
    </row>
    <row r="494" spans="1:1">
      <c r="A494" s="111"/>
    </row>
    <row r="495" spans="1:1">
      <c r="A495" s="111"/>
    </row>
    <row r="496" spans="1:1">
      <c r="A496" s="111"/>
    </row>
    <row r="497" spans="1:1">
      <c r="A497" s="111"/>
    </row>
    <row r="498" spans="1:1">
      <c r="A498" s="111"/>
    </row>
    <row r="499" spans="1:1">
      <c r="A499" s="111"/>
    </row>
    <row r="500" spans="1:1">
      <c r="A500" s="111"/>
    </row>
    <row r="501" spans="1:1">
      <c r="A501" s="111"/>
    </row>
    <row r="502" spans="1:1">
      <c r="A502" s="111"/>
    </row>
    <row r="503" spans="1:1">
      <c r="A503" s="111"/>
    </row>
    <row r="504" spans="1:1">
      <c r="A504" s="111"/>
    </row>
    <row r="505" spans="1:1">
      <c r="A505" s="111"/>
    </row>
    <row r="506" spans="1:1">
      <c r="A506" s="111"/>
    </row>
    <row r="507" spans="1:1">
      <c r="A507" s="111"/>
    </row>
    <row r="508" spans="1:1">
      <c r="A508" s="111"/>
    </row>
    <row r="509" spans="1:1">
      <c r="A509" s="111"/>
    </row>
    <row r="510" spans="1:1">
      <c r="A510" s="111"/>
    </row>
    <row r="511" spans="1:1">
      <c r="A511" s="111"/>
    </row>
    <row r="512" spans="1:1">
      <c r="A512" s="111"/>
    </row>
    <row r="513" spans="1:1">
      <c r="A513" s="111"/>
    </row>
    <row r="514" spans="1:1">
      <c r="A514" s="111"/>
    </row>
    <row r="515" spans="1:1">
      <c r="A515" s="111"/>
    </row>
    <row r="516" spans="1:1">
      <c r="A516" s="111"/>
    </row>
    <row r="517" spans="1:1">
      <c r="A517" s="111"/>
    </row>
    <row r="518" spans="1:1">
      <c r="A518" s="111"/>
    </row>
    <row r="519" spans="1:1">
      <c r="A519" s="111"/>
    </row>
    <row r="520" spans="1:1">
      <c r="A520" s="111"/>
    </row>
    <row r="521" spans="1:1">
      <c r="A521" s="111"/>
    </row>
    <row r="522" spans="1:1">
      <c r="A522" s="111"/>
    </row>
    <row r="523" spans="1:1">
      <c r="A523" s="111"/>
    </row>
    <row r="524" spans="1:1">
      <c r="A524" s="111"/>
    </row>
    <row r="525" spans="1:1">
      <c r="A525" s="111"/>
    </row>
    <row r="526" spans="1:1">
      <c r="A526" s="111"/>
    </row>
    <row r="527" spans="1:1">
      <c r="A527" s="111"/>
    </row>
    <row r="528" spans="1:1">
      <c r="A528" s="111"/>
    </row>
    <row r="529" spans="1:1">
      <c r="A529" s="111"/>
    </row>
    <row r="530" spans="1:1">
      <c r="A530" s="111"/>
    </row>
    <row r="531" spans="1:1">
      <c r="A531" s="111"/>
    </row>
    <row r="532" spans="1:1">
      <c r="A532" s="111"/>
    </row>
    <row r="533" spans="1:1">
      <c r="A533" s="111"/>
    </row>
    <row r="534" spans="1:1">
      <c r="A534" s="111"/>
    </row>
    <row r="535" spans="1:1">
      <c r="A535" s="111"/>
    </row>
    <row r="536" spans="1:1">
      <c r="A536" s="111"/>
    </row>
    <row r="537" spans="1:1">
      <c r="A537" s="111"/>
    </row>
    <row r="538" spans="1:1">
      <c r="A538" s="111"/>
    </row>
    <row r="539" spans="1:1">
      <c r="A539" s="111"/>
    </row>
    <row r="540" spans="1:1">
      <c r="A540" s="111"/>
    </row>
    <row r="541" spans="1:1">
      <c r="A541" s="111"/>
    </row>
    <row r="542" spans="1:1">
      <c r="A542" s="111"/>
    </row>
    <row r="543" spans="1:1">
      <c r="A543" s="111"/>
    </row>
    <row r="544" spans="1:1">
      <c r="A544" s="111"/>
    </row>
    <row r="545" spans="1:1">
      <c r="A545" s="111"/>
    </row>
    <row r="546" spans="1:1">
      <c r="A546" s="111"/>
    </row>
    <row r="547" spans="1:1">
      <c r="A547" s="111"/>
    </row>
    <row r="548" spans="1:1">
      <c r="A548" s="111"/>
    </row>
    <row r="549" spans="1:1">
      <c r="A549" s="111"/>
    </row>
    <row r="550" spans="1:1">
      <c r="A550" s="111"/>
    </row>
    <row r="551" spans="1:1">
      <c r="A551" s="111"/>
    </row>
    <row r="552" spans="1:1">
      <c r="A552" s="111"/>
    </row>
    <row r="553" spans="1:1">
      <c r="A553" s="111"/>
    </row>
    <row r="554" spans="1:1">
      <c r="A554" s="111"/>
    </row>
    <row r="555" spans="1:1">
      <c r="A555" s="111"/>
    </row>
    <row r="556" spans="1:1">
      <c r="A556" s="111"/>
    </row>
    <row r="557" spans="1:1">
      <c r="A557" s="111"/>
    </row>
    <row r="558" spans="1:1">
      <c r="A558" s="111"/>
    </row>
    <row r="559" spans="1:1">
      <c r="A559" s="111"/>
    </row>
    <row r="560" spans="1:1">
      <c r="A560" s="111"/>
    </row>
    <row r="561" spans="1:1">
      <c r="A561" s="111"/>
    </row>
    <row r="562" spans="1:1">
      <c r="A562" s="111"/>
    </row>
    <row r="563" spans="1:1">
      <c r="A563" s="111"/>
    </row>
    <row r="564" spans="1:1">
      <c r="A564" s="111"/>
    </row>
    <row r="565" spans="1:1">
      <c r="A565" s="111"/>
    </row>
    <row r="566" spans="1:1">
      <c r="A566" s="111"/>
    </row>
    <row r="567" spans="1:1">
      <c r="A567" s="111"/>
    </row>
    <row r="568" spans="1:1">
      <c r="A568" s="111"/>
    </row>
    <row r="569" spans="1:1">
      <c r="A569" s="111"/>
    </row>
    <row r="570" spans="1:1">
      <c r="A570" s="111"/>
    </row>
    <row r="571" spans="1:1">
      <c r="A571" s="111"/>
    </row>
    <row r="572" spans="1:1">
      <c r="A572" s="111"/>
    </row>
    <row r="573" spans="1:1">
      <c r="A573" s="111"/>
    </row>
    <row r="574" spans="1:1">
      <c r="A574" s="111"/>
    </row>
    <row r="575" spans="1:1">
      <c r="A575" s="111"/>
    </row>
    <row r="576" spans="1:1">
      <c r="A576" s="111"/>
    </row>
    <row r="577" spans="1:1">
      <c r="A577" s="111"/>
    </row>
    <row r="578" spans="1:1">
      <c r="A578" s="111"/>
    </row>
    <row r="579" spans="1:1">
      <c r="A579" s="111"/>
    </row>
    <row r="580" spans="1:1">
      <c r="A580" s="111"/>
    </row>
    <row r="581" spans="1:1">
      <c r="A581" s="111"/>
    </row>
    <row r="582" spans="1:1">
      <c r="A582" s="111"/>
    </row>
    <row r="583" spans="1:1">
      <c r="A583" s="111"/>
    </row>
    <row r="584" spans="1:1">
      <c r="A584" s="111"/>
    </row>
    <row r="585" spans="1:1">
      <c r="A585" s="111"/>
    </row>
    <row r="586" spans="1:1">
      <c r="A586" s="111"/>
    </row>
    <row r="587" spans="1:1">
      <c r="A587" s="111"/>
    </row>
    <row r="588" spans="1:1">
      <c r="A588" s="111"/>
    </row>
    <row r="589" spans="1:1">
      <c r="A589" s="111"/>
    </row>
    <row r="590" spans="1:1">
      <c r="A590" s="111"/>
    </row>
    <row r="591" spans="1:1">
      <c r="A591" s="111"/>
    </row>
    <row r="592" spans="1:1">
      <c r="A592" s="111"/>
    </row>
    <row r="593" spans="1:1">
      <c r="A593" s="111"/>
    </row>
    <row r="594" spans="1:1">
      <c r="A594" s="111"/>
    </row>
    <row r="595" spans="1:1">
      <c r="A595" s="111"/>
    </row>
    <row r="596" spans="1:1">
      <c r="A596" s="111"/>
    </row>
    <row r="597" spans="1:1">
      <c r="A597" s="111"/>
    </row>
    <row r="598" spans="1:1">
      <c r="A598" s="111"/>
    </row>
    <row r="599" spans="1:1">
      <c r="A599" s="111"/>
    </row>
    <row r="600" spans="1:1">
      <c r="A600" s="111"/>
    </row>
    <row r="601" spans="1:1">
      <c r="A601" s="111"/>
    </row>
    <row r="602" spans="1:1">
      <c r="A602" s="111"/>
    </row>
    <row r="603" spans="1:1">
      <c r="A603" s="111"/>
    </row>
    <row r="604" spans="1:1">
      <c r="A604" s="111"/>
    </row>
    <row r="605" spans="1:1">
      <c r="A605" s="111"/>
    </row>
    <row r="606" spans="1:1">
      <c r="A606" s="111"/>
    </row>
    <row r="607" spans="1:1">
      <c r="A607" s="111"/>
    </row>
    <row r="608" spans="1:1">
      <c r="A608" s="111"/>
    </row>
    <row r="609" spans="1:1">
      <c r="A609" s="111"/>
    </row>
    <row r="610" spans="1:1">
      <c r="A610" s="111"/>
    </row>
    <row r="611" spans="1:1">
      <c r="A611" s="111"/>
    </row>
    <row r="612" spans="1:1">
      <c r="A612" s="111"/>
    </row>
    <row r="613" spans="1:1">
      <c r="A613" s="111"/>
    </row>
    <row r="614" spans="1:1">
      <c r="A614" s="111"/>
    </row>
    <row r="615" spans="1:1">
      <c r="A615" s="111"/>
    </row>
    <row r="616" spans="1:1">
      <c r="A616" s="111"/>
    </row>
    <row r="617" spans="1:1">
      <c r="A617" s="111"/>
    </row>
    <row r="618" spans="1:1">
      <c r="A618" s="111"/>
    </row>
    <row r="619" spans="1:1">
      <c r="A619" s="111"/>
    </row>
    <row r="620" spans="1:1">
      <c r="A620" s="111"/>
    </row>
    <row r="621" spans="1:1">
      <c r="A621" s="111"/>
    </row>
    <row r="622" spans="1:1">
      <c r="A622" s="111"/>
    </row>
    <row r="623" spans="1:1">
      <c r="A623" s="111"/>
    </row>
    <row r="624" spans="1:1">
      <c r="A624" s="111"/>
    </row>
    <row r="625" spans="1:1">
      <c r="A625" s="111"/>
    </row>
    <row r="626" spans="1:1">
      <c r="A626" s="111"/>
    </row>
    <row r="627" spans="1:1">
      <c r="A627" s="111"/>
    </row>
    <row r="628" spans="1:1">
      <c r="A628" s="111"/>
    </row>
    <row r="629" spans="1:1">
      <c r="A629" s="111"/>
    </row>
    <row r="630" spans="1:1">
      <c r="A630" s="111"/>
    </row>
    <row r="631" spans="1:1">
      <c r="A631" s="111"/>
    </row>
    <row r="632" spans="1:1">
      <c r="A632" s="111"/>
    </row>
    <row r="633" spans="1:1">
      <c r="A633" s="111"/>
    </row>
    <row r="634" spans="1:1">
      <c r="A634" s="111"/>
    </row>
    <row r="635" spans="1:1">
      <c r="A635" s="111"/>
    </row>
    <row r="636" spans="1:1">
      <c r="A636" s="111"/>
    </row>
    <row r="637" spans="1:1">
      <c r="A637" s="111"/>
    </row>
    <row r="638" spans="1:1">
      <c r="A638" s="111"/>
    </row>
    <row r="639" spans="1:1">
      <c r="A639" s="111"/>
    </row>
    <row r="640" spans="1:1">
      <c r="A640" s="111"/>
    </row>
    <row r="641" spans="1:1">
      <c r="A641" s="111"/>
    </row>
    <row r="642" spans="1:1">
      <c r="A642" s="111"/>
    </row>
    <row r="643" spans="1:1">
      <c r="A643" s="111"/>
    </row>
    <row r="644" spans="1:1">
      <c r="A644" s="111"/>
    </row>
    <row r="645" spans="1:1">
      <c r="A645" s="111"/>
    </row>
    <row r="646" spans="1:1">
      <c r="A646" s="111"/>
    </row>
    <row r="647" spans="1:1">
      <c r="A647" s="111"/>
    </row>
    <row r="648" spans="1:1">
      <c r="A648" s="111"/>
    </row>
    <row r="649" spans="1:1">
      <c r="A649" s="111"/>
    </row>
    <row r="650" spans="1:1">
      <c r="A650" s="111"/>
    </row>
    <row r="651" spans="1:1">
      <c r="A651" s="111"/>
    </row>
    <row r="652" spans="1:1">
      <c r="A652" s="111"/>
    </row>
    <row r="653" spans="1:1">
      <c r="A653" s="111"/>
    </row>
    <row r="654" spans="1:1">
      <c r="A654" s="111"/>
    </row>
    <row r="655" spans="1:1">
      <c r="A655" s="111"/>
    </row>
    <row r="656" spans="1:1">
      <c r="A656" s="111"/>
    </row>
    <row r="657" spans="1:1">
      <c r="A657" s="111"/>
    </row>
    <row r="658" spans="1:1">
      <c r="A658" s="111"/>
    </row>
    <row r="659" spans="1:1">
      <c r="A659" s="111"/>
    </row>
    <row r="660" spans="1:1">
      <c r="A660" s="111"/>
    </row>
    <row r="661" spans="1:1">
      <c r="A661" s="111"/>
    </row>
    <row r="662" spans="1:1">
      <c r="A662" s="111"/>
    </row>
    <row r="663" spans="1:1">
      <c r="A663" s="111"/>
    </row>
    <row r="664" spans="1:1">
      <c r="A664" s="111"/>
    </row>
    <row r="665" spans="1:1">
      <c r="A665" s="111"/>
    </row>
    <row r="666" spans="1:1">
      <c r="A666" s="111"/>
    </row>
    <row r="667" spans="1:1">
      <c r="A667" s="111"/>
    </row>
    <row r="668" spans="1:1">
      <c r="A668" s="111"/>
    </row>
    <row r="669" spans="1:1">
      <c r="A669" s="111"/>
    </row>
    <row r="670" spans="1:1">
      <c r="A670" s="111"/>
    </row>
    <row r="671" spans="1:1">
      <c r="A671" s="111"/>
    </row>
    <row r="672" spans="1:1">
      <c r="A672" s="111"/>
    </row>
    <row r="673" spans="1:1">
      <c r="A673" s="111"/>
    </row>
    <row r="674" spans="1:1">
      <c r="A674" s="111"/>
    </row>
    <row r="675" spans="1:1">
      <c r="A675" s="111"/>
    </row>
    <row r="676" spans="1:1">
      <c r="A676" s="111"/>
    </row>
    <row r="677" spans="1:1">
      <c r="A677" s="111"/>
    </row>
    <row r="678" spans="1:1">
      <c r="A678" s="111"/>
    </row>
    <row r="679" spans="1:1">
      <c r="A679" s="111"/>
    </row>
    <row r="680" spans="1:1">
      <c r="A680" s="111"/>
    </row>
    <row r="681" spans="1:1">
      <c r="A681" s="111"/>
    </row>
    <row r="682" spans="1:1">
      <c r="A682" s="111"/>
    </row>
    <row r="683" spans="1:1">
      <c r="A683" s="111"/>
    </row>
    <row r="684" spans="1:1">
      <c r="A684" s="111"/>
    </row>
    <row r="685" spans="1:1">
      <c r="A685" s="111"/>
    </row>
    <row r="686" spans="1:1">
      <c r="A686" s="111"/>
    </row>
    <row r="687" spans="1:1">
      <c r="A687" s="111"/>
    </row>
    <row r="688" spans="1:1">
      <c r="A688" s="111"/>
    </row>
    <row r="689" spans="1:1">
      <c r="A689" s="111"/>
    </row>
    <row r="690" spans="1:1">
      <c r="A690" s="111"/>
    </row>
    <row r="691" spans="1:1">
      <c r="A691" s="111"/>
    </row>
    <row r="692" spans="1:1">
      <c r="A692" s="111"/>
    </row>
    <row r="693" spans="1:1">
      <c r="A693" s="111"/>
    </row>
    <row r="694" spans="1:1">
      <c r="A694" s="111"/>
    </row>
    <row r="695" spans="1:1">
      <c r="A695" s="111"/>
    </row>
    <row r="696" spans="1:1">
      <c r="A696" s="111"/>
    </row>
    <row r="697" spans="1:1">
      <c r="A697" s="111"/>
    </row>
    <row r="698" spans="1:1">
      <c r="A698" s="111"/>
    </row>
    <row r="699" spans="1:1">
      <c r="A699" s="111"/>
    </row>
    <row r="700" spans="1:1">
      <c r="A700" s="111"/>
    </row>
    <row r="701" spans="1:1">
      <c r="A701" s="111"/>
    </row>
    <row r="702" spans="1:1">
      <c r="A702" s="111"/>
    </row>
    <row r="703" spans="1:1">
      <c r="A703" s="111"/>
    </row>
    <row r="704" spans="1:1">
      <c r="A704" s="111"/>
    </row>
    <row r="705" spans="1:1">
      <c r="A705" s="111"/>
    </row>
    <row r="706" spans="1:1">
      <c r="A706" s="111"/>
    </row>
    <row r="707" spans="1:1">
      <c r="A707" s="111"/>
    </row>
    <row r="708" spans="1:1">
      <c r="A708" s="111"/>
    </row>
    <row r="709" spans="1:1">
      <c r="A709" s="111"/>
    </row>
    <row r="710" spans="1:1">
      <c r="A710" s="111"/>
    </row>
    <row r="711" spans="1:1">
      <c r="A711" s="111"/>
    </row>
    <row r="712" spans="1:1">
      <c r="A712" s="111"/>
    </row>
    <row r="713" spans="1:1">
      <c r="A713" s="111"/>
    </row>
    <row r="714" spans="1:1">
      <c r="A714" s="111"/>
    </row>
    <row r="715" spans="1:1">
      <c r="A715" s="111"/>
    </row>
    <row r="716" spans="1:1">
      <c r="A716" s="111"/>
    </row>
    <row r="717" spans="1:1">
      <c r="A717" s="111"/>
    </row>
    <row r="718" spans="1:1">
      <c r="A718" s="111"/>
    </row>
    <row r="719" spans="1:1">
      <c r="A719" s="111"/>
    </row>
    <row r="720" spans="1:1">
      <c r="A720" s="111"/>
    </row>
    <row r="721" spans="1:1">
      <c r="A721" s="111"/>
    </row>
    <row r="722" spans="1:1">
      <c r="A722" s="111"/>
    </row>
    <row r="723" spans="1:1">
      <c r="A723" s="111"/>
    </row>
    <row r="724" spans="1:1">
      <c r="A724" s="111"/>
    </row>
    <row r="725" spans="1:1">
      <c r="A725" s="111"/>
    </row>
    <row r="726" spans="1:1">
      <c r="A726" s="111"/>
    </row>
    <row r="727" spans="1:1">
      <c r="A727" s="111"/>
    </row>
    <row r="728" spans="1:1">
      <c r="A728" s="111"/>
    </row>
    <row r="729" spans="1:1">
      <c r="A729" s="111"/>
    </row>
    <row r="730" spans="1:1">
      <c r="A730" s="111"/>
    </row>
    <row r="731" spans="1:1">
      <c r="A731" s="111"/>
    </row>
    <row r="732" spans="1:1">
      <c r="A732" s="111"/>
    </row>
    <row r="733" spans="1:1">
      <c r="A733" s="111"/>
    </row>
    <row r="734" spans="1:1">
      <c r="A734" s="111"/>
    </row>
    <row r="735" spans="1:1">
      <c r="A735" s="111"/>
    </row>
    <row r="736" spans="1:1">
      <c r="A736" s="111"/>
    </row>
    <row r="737" spans="1:1">
      <c r="A737" s="111"/>
    </row>
    <row r="738" spans="1:1">
      <c r="A738" s="111"/>
    </row>
    <row r="739" spans="1:1">
      <c r="A739" s="111"/>
    </row>
    <row r="740" spans="1:1">
      <c r="A740" s="111"/>
    </row>
    <row r="741" spans="1:1">
      <c r="A741" s="111"/>
    </row>
    <row r="742" spans="1:1">
      <c r="A742" s="111"/>
    </row>
    <row r="743" spans="1:1">
      <c r="A743" s="111"/>
    </row>
    <row r="744" spans="1:1">
      <c r="A744" s="111"/>
    </row>
    <row r="745" spans="1:1">
      <c r="A745" s="111"/>
    </row>
    <row r="746" spans="1:1">
      <c r="A746" s="111"/>
    </row>
    <row r="747" spans="1:1">
      <c r="A747" s="111"/>
    </row>
    <row r="748" spans="1:1">
      <c r="A748" s="111"/>
    </row>
    <row r="749" spans="1:1">
      <c r="A749" s="111"/>
    </row>
    <row r="750" spans="1:1">
      <c r="A750" s="111"/>
    </row>
    <row r="751" spans="1:1">
      <c r="A751" s="111"/>
    </row>
    <row r="752" spans="1:1">
      <c r="A752" s="111"/>
    </row>
    <row r="753" spans="1:1">
      <c r="A753" s="111"/>
    </row>
    <row r="754" spans="1:1">
      <c r="A754" s="111"/>
    </row>
    <row r="755" spans="1:1">
      <c r="A755" s="111"/>
    </row>
    <row r="756" spans="1:1">
      <c r="A756" s="111"/>
    </row>
    <row r="757" spans="1:1">
      <c r="A757" s="111"/>
    </row>
    <row r="758" spans="1:1">
      <c r="A758" s="111"/>
    </row>
    <row r="759" spans="1:1">
      <c r="A759" s="111"/>
    </row>
    <row r="760" spans="1:1">
      <c r="A760" s="111"/>
    </row>
    <row r="761" spans="1:1">
      <c r="A761" s="111"/>
    </row>
    <row r="762" spans="1:1">
      <c r="A762" s="111"/>
    </row>
    <row r="763" spans="1:1">
      <c r="A763" s="111"/>
    </row>
    <row r="764" spans="1:1">
      <c r="A764" s="111"/>
    </row>
    <row r="765" spans="1:1">
      <c r="A765" s="111"/>
    </row>
    <row r="766" spans="1:1">
      <c r="A766" s="111"/>
    </row>
    <row r="767" spans="1:1">
      <c r="A767" s="111"/>
    </row>
    <row r="768" spans="1:1">
      <c r="A768" s="111"/>
    </row>
    <row r="769" spans="1:1">
      <c r="A769" s="111"/>
    </row>
    <row r="770" spans="1:1">
      <c r="A770" s="111"/>
    </row>
    <row r="771" spans="1:1">
      <c r="A771" s="111"/>
    </row>
    <row r="772" spans="1:1">
      <c r="A772" s="111"/>
    </row>
    <row r="773" spans="1:1">
      <c r="A773" s="111"/>
    </row>
    <row r="774" spans="1:1">
      <c r="A774" s="111"/>
    </row>
    <row r="775" spans="1:1">
      <c r="A775" s="111"/>
    </row>
    <row r="776" spans="1:1">
      <c r="A776" s="111"/>
    </row>
    <row r="777" spans="1:1">
      <c r="A777" s="111"/>
    </row>
    <row r="778" spans="1:1">
      <c r="A778" s="111"/>
    </row>
    <row r="779" spans="1:1">
      <c r="A779" s="111"/>
    </row>
    <row r="780" spans="1:1">
      <c r="A780" s="111"/>
    </row>
    <row r="781" spans="1:1">
      <c r="A781" s="111"/>
    </row>
    <row r="782" spans="1:1">
      <c r="A782" s="111"/>
    </row>
    <row r="783" spans="1:1">
      <c r="A783" s="111"/>
    </row>
    <row r="784" spans="1:1">
      <c r="A784" s="111"/>
    </row>
    <row r="785" spans="1:1">
      <c r="A785" s="111"/>
    </row>
    <row r="786" spans="1:1">
      <c r="A786" s="111"/>
    </row>
    <row r="787" spans="1:1">
      <c r="A787" s="111"/>
    </row>
    <row r="788" spans="1:1">
      <c r="A788" s="111"/>
    </row>
    <row r="789" spans="1:1">
      <c r="A789" s="111"/>
    </row>
    <row r="790" spans="1:1">
      <c r="A790" s="111"/>
    </row>
    <row r="791" spans="1:1">
      <c r="A791" s="111"/>
    </row>
    <row r="792" spans="1:1">
      <c r="A792" s="111"/>
    </row>
    <row r="793" spans="1:1">
      <c r="A793" s="111"/>
    </row>
    <row r="794" spans="1:1">
      <c r="A794" s="111"/>
    </row>
    <row r="795" spans="1:1">
      <c r="A795" s="111"/>
    </row>
    <row r="796" spans="1:1">
      <c r="A796" s="111"/>
    </row>
    <row r="797" spans="1:1">
      <c r="A797" s="111"/>
    </row>
    <row r="798" spans="1:1">
      <c r="A798" s="111"/>
    </row>
    <row r="799" spans="1:1">
      <c r="A799" s="111"/>
    </row>
    <row r="800" spans="1:1">
      <c r="A800" s="111"/>
    </row>
    <row r="801" spans="1:1">
      <c r="A801" s="111"/>
    </row>
    <row r="802" spans="1:1">
      <c r="A802" s="111"/>
    </row>
    <row r="803" spans="1:1">
      <c r="A803" s="111"/>
    </row>
    <row r="804" spans="1:1">
      <c r="A804" s="111"/>
    </row>
    <row r="805" spans="1:1">
      <c r="A805" s="111"/>
    </row>
    <row r="806" spans="1:1">
      <c r="A806" s="111"/>
    </row>
    <row r="807" spans="1:1">
      <c r="A807" s="111"/>
    </row>
    <row r="808" spans="1:1">
      <c r="A808" s="111"/>
    </row>
    <row r="809" spans="1:1">
      <c r="A809" s="111"/>
    </row>
    <row r="810" spans="1:1">
      <c r="A810" s="111"/>
    </row>
    <row r="811" spans="1:1">
      <c r="A811" s="111"/>
    </row>
    <row r="812" spans="1:1">
      <c r="A812" s="111"/>
    </row>
    <row r="813" spans="1:1">
      <c r="A813" s="111"/>
    </row>
    <row r="814" spans="1:1">
      <c r="A814" s="111"/>
    </row>
    <row r="815" spans="1:1">
      <c r="A815" s="111"/>
    </row>
    <row r="816" spans="1:1">
      <c r="A816" s="111"/>
    </row>
    <row r="817" spans="1:1">
      <c r="A817" s="111"/>
    </row>
    <row r="818" spans="1:1">
      <c r="A818" s="111"/>
    </row>
    <row r="819" spans="1:1">
      <c r="A819" s="111"/>
    </row>
    <row r="820" spans="1:1">
      <c r="A820" s="111"/>
    </row>
    <row r="821" spans="1:1">
      <c r="A821" s="111"/>
    </row>
    <row r="822" spans="1:1">
      <c r="A822" s="111"/>
    </row>
    <row r="823" spans="1:1">
      <c r="A823" s="111"/>
    </row>
    <row r="824" spans="1:1">
      <c r="A824" s="111"/>
    </row>
    <row r="825" spans="1:1">
      <c r="A825" s="111"/>
    </row>
    <row r="826" spans="1:1">
      <c r="A826" s="111"/>
    </row>
    <row r="827" spans="1:1">
      <c r="A827" s="111"/>
    </row>
    <row r="828" spans="1:1">
      <c r="A828" s="111"/>
    </row>
    <row r="829" spans="1:1">
      <c r="A829" s="111"/>
    </row>
    <row r="830" spans="1:1">
      <c r="A830" s="111"/>
    </row>
    <row r="831" spans="1:1">
      <c r="A831" s="111"/>
    </row>
    <row r="832" spans="1:1">
      <c r="A832" s="111"/>
    </row>
    <row r="833" spans="1:1">
      <c r="A833" s="111"/>
    </row>
    <row r="834" spans="1:1">
      <c r="A834" s="111"/>
    </row>
    <row r="835" spans="1:1">
      <c r="A835" s="111"/>
    </row>
    <row r="836" spans="1:1">
      <c r="A836" s="111"/>
    </row>
    <row r="837" spans="1:1">
      <c r="A837" s="111"/>
    </row>
    <row r="838" spans="1:1">
      <c r="A838" s="111"/>
    </row>
    <row r="839" spans="1:1">
      <c r="A839" s="111"/>
    </row>
    <row r="840" spans="1:1">
      <c r="A840" s="111"/>
    </row>
    <row r="841" spans="1:1">
      <c r="A841" s="111"/>
    </row>
    <row r="842" spans="1:1">
      <c r="A842" s="111"/>
    </row>
    <row r="843" spans="1:1">
      <c r="A843" s="111"/>
    </row>
    <row r="844" spans="1:1">
      <c r="A844" s="111"/>
    </row>
    <row r="845" spans="1:1">
      <c r="A845" s="111"/>
    </row>
    <row r="846" spans="1:1">
      <c r="A846" s="111"/>
    </row>
    <row r="847" spans="1:1">
      <c r="A847" s="111"/>
    </row>
    <row r="848" spans="1:1">
      <c r="A848" s="111"/>
    </row>
    <row r="849" spans="1:1">
      <c r="A849" s="111"/>
    </row>
    <row r="850" spans="1:1">
      <c r="A850" s="111"/>
    </row>
    <row r="851" spans="1:1">
      <c r="A851" s="111"/>
    </row>
    <row r="852" spans="1:1">
      <c r="A852" s="111"/>
    </row>
    <row r="853" spans="1:1">
      <c r="A853" s="111"/>
    </row>
    <row r="854" spans="1:1">
      <c r="A854" s="111"/>
    </row>
    <row r="855" spans="1:1">
      <c r="A855" s="111"/>
    </row>
    <row r="856" spans="1:1">
      <c r="A856" s="111"/>
    </row>
    <row r="857" spans="1:1">
      <c r="A857" s="111"/>
    </row>
    <row r="858" spans="1:1">
      <c r="A858" s="111"/>
    </row>
    <row r="859" spans="1:1">
      <c r="A859" s="111"/>
    </row>
    <row r="860" spans="1:1">
      <c r="A860" s="111"/>
    </row>
    <row r="861" spans="1:1">
      <c r="A861" s="111"/>
    </row>
    <row r="862" spans="1:1">
      <c r="A862" s="111"/>
    </row>
    <row r="863" spans="1:1">
      <c r="A863" s="111"/>
    </row>
    <row r="864" spans="1:1">
      <c r="A864" s="111"/>
    </row>
    <row r="865" spans="1:1">
      <c r="A865" s="111"/>
    </row>
    <row r="866" spans="1:1">
      <c r="A866" s="111"/>
    </row>
    <row r="867" spans="1:1">
      <c r="A867" s="111"/>
    </row>
    <row r="868" spans="1:1">
      <c r="A868" s="111"/>
    </row>
    <row r="869" spans="1:1">
      <c r="A869" s="111"/>
    </row>
    <row r="870" spans="1:1">
      <c r="A870" s="111"/>
    </row>
    <row r="871" spans="1:1">
      <c r="A871" s="111"/>
    </row>
    <row r="872" spans="1:1">
      <c r="A872" s="111"/>
    </row>
    <row r="873" spans="1:1">
      <c r="A873" s="111"/>
    </row>
    <row r="874" spans="1:1">
      <c r="A874" s="111"/>
    </row>
    <row r="875" spans="1:1">
      <c r="A875" s="111"/>
    </row>
    <row r="876" spans="1:1">
      <c r="A876" s="111"/>
    </row>
    <row r="877" spans="1:1">
      <c r="A877" s="111"/>
    </row>
    <row r="878" spans="1:1">
      <c r="A878" s="111"/>
    </row>
    <row r="879" spans="1:1">
      <c r="A879" s="111"/>
    </row>
    <row r="880" spans="1:1">
      <c r="A880" s="111"/>
    </row>
    <row r="881" spans="1:1">
      <c r="A881" s="111"/>
    </row>
    <row r="882" spans="1:1">
      <c r="A882" s="111"/>
    </row>
    <row r="883" spans="1:1">
      <c r="A883" s="111"/>
    </row>
    <row r="884" spans="1:1">
      <c r="A884" s="111"/>
    </row>
    <row r="885" spans="1:1">
      <c r="A885" s="111"/>
    </row>
    <row r="886" spans="1:1">
      <c r="A886" s="111"/>
    </row>
    <row r="887" spans="1:1">
      <c r="A887" s="111"/>
    </row>
    <row r="888" spans="1:1">
      <c r="A888" s="111"/>
    </row>
    <row r="889" spans="1:1">
      <c r="A889" s="111"/>
    </row>
    <row r="890" spans="1:1">
      <c r="A890" s="111"/>
    </row>
    <row r="891" spans="1:1">
      <c r="A891" s="111"/>
    </row>
    <row r="892" spans="1:1">
      <c r="A892" s="111"/>
    </row>
    <row r="893" spans="1:1">
      <c r="A893" s="111"/>
    </row>
    <row r="894" spans="1:1">
      <c r="A894" s="111"/>
    </row>
    <row r="895" spans="1:1">
      <c r="A895" s="111"/>
    </row>
    <row r="896" spans="1:1">
      <c r="A896" s="111"/>
    </row>
    <row r="897" spans="1:1">
      <c r="A897" s="111"/>
    </row>
    <row r="898" spans="1:1">
      <c r="A898" s="111"/>
    </row>
    <row r="899" spans="1:1">
      <c r="A899" s="111"/>
    </row>
    <row r="900" spans="1:1">
      <c r="A900" s="111"/>
    </row>
    <row r="901" spans="1:1">
      <c r="A901" s="111"/>
    </row>
    <row r="902" spans="1:1">
      <c r="A902" s="111"/>
    </row>
    <row r="903" spans="1:1">
      <c r="A903" s="111"/>
    </row>
    <row r="904" spans="1:1">
      <c r="A904" s="111"/>
    </row>
    <row r="905" spans="1:1">
      <c r="A905" s="111"/>
    </row>
    <row r="906" spans="1:1">
      <c r="A906" s="111"/>
    </row>
    <row r="907" spans="1:1">
      <c r="A907" s="111"/>
    </row>
    <row r="908" spans="1:1">
      <c r="A908" s="111"/>
    </row>
    <row r="909" spans="1:1">
      <c r="A909" s="111"/>
    </row>
    <row r="910" spans="1:1">
      <c r="A910" s="111"/>
    </row>
    <row r="911" spans="1:1">
      <c r="A911" s="111"/>
    </row>
    <row r="912" spans="1:1">
      <c r="A912" s="111"/>
    </row>
    <row r="913" spans="1:1">
      <c r="A913" s="111"/>
    </row>
    <row r="914" spans="1:1">
      <c r="A914" s="111"/>
    </row>
    <row r="915" spans="1:1">
      <c r="A915" s="111"/>
    </row>
    <row r="916" spans="1:1">
      <c r="A916" s="111"/>
    </row>
    <row r="917" spans="1:1">
      <c r="A917" s="111"/>
    </row>
    <row r="918" spans="1:1">
      <c r="A918" s="111"/>
    </row>
    <row r="919" spans="1:1">
      <c r="A919" s="111"/>
    </row>
    <row r="920" spans="1:1">
      <c r="A920" s="111"/>
    </row>
    <row r="921" spans="1:1">
      <c r="A921" s="111"/>
    </row>
    <row r="922" spans="1:1">
      <c r="A922" s="111"/>
    </row>
    <row r="923" spans="1:1">
      <c r="A923" s="111"/>
    </row>
    <row r="924" spans="1:1">
      <c r="A924" s="111"/>
    </row>
    <row r="925" spans="1:1">
      <c r="A925" s="111"/>
    </row>
    <row r="926" spans="1:1">
      <c r="A926" s="111"/>
    </row>
    <row r="927" spans="1:1">
      <c r="A927" s="111"/>
    </row>
    <row r="928" spans="1:1">
      <c r="A928" s="111"/>
    </row>
    <row r="929" spans="1:1">
      <c r="A929" s="111"/>
    </row>
    <row r="930" spans="1:1">
      <c r="A930" s="111"/>
    </row>
    <row r="931" spans="1:1">
      <c r="A931" s="111"/>
    </row>
    <row r="932" spans="1:1">
      <c r="A932" s="111"/>
    </row>
    <row r="933" spans="1:1">
      <c r="A933" s="111"/>
    </row>
    <row r="934" spans="1:1">
      <c r="A934" s="111"/>
    </row>
    <row r="935" spans="1:1">
      <c r="A935" s="111"/>
    </row>
    <row r="936" spans="1:1">
      <c r="A936" s="111"/>
    </row>
    <row r="937" spans="1:1">
      <c r="A937" s="111"/>
    </row>
    <row r="938" spans="1:1">
      <c r="A938" s="111"/>
    </row>
    <row r="939" spans="1:1">
      <c r="A939" s="111"/>
    </row>
    <row r="940" spans="1:1">
      <c r="A940" s="111"/>
    </row>
    <row r="941" spans="1:1">
      <c r="A941" s="111"/>
    </row>
    <row r="942" spans="1:1">
      <c r="A942" s="111"/>
    </row>
    <row r="943" spans="1:1">
      <c r="A943" s="111"/>
    </row>
    <row r="944" spans="1:1">
      <c r="A944" s="111"/>
    </row>
    <row r="945" spans="1:1">
      <c r="A945" s="111"/>
    </row>
    <row r="946" spans="1:1">
      <c r="A946" s="111"/>
    </row>
    <row r="947" spans="1:1">
      <c r="A947" s="111"/>
    </row>
    <row r="948" spans="1:1">
      <c r="A948" s="111"/>
    </row>
    <row r="949" spans="1:1">
      <c r="A949" s="111"/>
    </row>
    <row r="950" spans="1:1">
      <c r="A950" s="111"/>
    </row>
    <row r="951" spans="1:1">
      <c r="A951" s="111"/>
    </row>
    <row r="952" spans="1:1">
      <c r="A952" s="111"/>
    </row>
    <row r="953" spans="1:1">
      <c r="A953" s="111"/>
    </row>
    <row r="954" spans="1:1">
      <c r="A954" s="111"/>
    </row>
    <row r="955" spans="1:1">
      <c r="A955" s="111"/>
    </row>
    <row r="956" spans="1:1">
      <c r="A956" s="111"/>
    </row>
    <row r="957" spans="1:1">
      <c r="A957" s="111"/>
    </row>
    <row r="958" spans="1:1">
      <c r="A958" s="111"/>
    </row>
    <row r="959" spans="1:1">
      <c r="A959" s="111"/>
    </row>
    <row r="960" spans="1:1">
      <c r="A960" s="111"/>
    </row>
    <row r="961" spans="1:1">
      <c r="A961" s="111"/>
    </row>
    <row r="962" spans="1:1">
      <c r="A962" s="111"/>
    </row>
    <row r="963" spans="1:1">
      <c r="A963" s="111"/>
    </row>
    <row r="964" spans="1:1">
      <c r="A964" s="111"/>
    </row>
    <row r="965" spans="1:1">
      <c r="A965" s="111"/>
    </row>
    <row r="966" spans="1:1">
      <c r="A966" s="111"/>
    </row>
    <row r="967" spans="1:1">
      <c r="A967" s="111"/>
    </row>
    <row r="968" spans="1:1">
      <c r="A968" s="111"/>
    </row>
    <row r="969" spans="1:1">
      <c r="A969" s="111"/>
    </row>
    <row r="970" spans="1:1">
      <c r="A970" s="111"/>
    </row>
    <row r="971" spans="1:1">
      <c r="A971" s="111"/>
    </row>
    <row r="972" spans="1:1">
      <c r="A972" s="111"/>
    </row>
    <row r="973" spans="1:1">
      <c r="A973" s="111"/>
    </row>
    <row r="974" spans="1:1">
      <c r="A974" s="111"/>
    </row>
    <row r="975" spans="1:1">
      <c r="A975" s="111"/>
    </row>
    <row r="976" spans="1:1">
      <c r="A976" s="111"/>
    </row>
    <row r="977" spans="1:1">
      <c r="A977" s="111"/>
    </row>
    <row r="978" spans="1:1">
      <c r="A978" s="111"/>
    </row>
    <row r="979" spans="1:1">
      <c r="A979" s="111"/>
    </row>
    <row r="980" spans="1:1">
      <c r="A980" s="111"/>
    </row>
    <row r="981" spans="1:1">
      <c r="A981" s="111"/>
    </row>
    <row r="982" spans="1:1">
      <c r="A982" s="111"/>
    </row>
    <row r="983" spans="1:1">
      <c r="A983" s="111"/>
    </row>
    <row r="984" spans="1:1">
      <c r="A984" s="111"/>
    </row>
    <row r="985" spans="1:1">
      <c r="A985" s="111"/>
    </row>
    <row r="986" spans="1:1">
      <c r="A986" s="111"/>
    </row>
    <row r="987" spans="1:1">
      <c r="A987" s="111"/>
    </row>
    <row r="988" spans="1:1">
      <c r="A988" s="111"/>
    </row>
    <row r="989" spans="1:1">
      <c r="A989" s="111"/>
    </row>
    <row r="990" spans="1:1">
      <c r="A990" s="111"/>
    </row>
    <row r="991" spans="1:1">
      <c r="A991" s="111"/>
    </row>
    <row r="992" spans="1:1">
      <c r="A992" s="111"/>
    </row>
    <row r="993" spans="1:1">
      <c r="A993" s="111"/>
    </row>
    <row r="994" spans="1:1">
      <c r="A994" s="111"/>
    </row>
    <row r="995" spans="1:1">
      <c r="A995" s="111"/>
    </row>
    <row r="996" spans="1:1">
      <c r="A996" s="111"/>
    </row>
    <row r="997" spans="1:1">
      <c r="A997" s="111"/>
    </row>
    <row r="998" spans="1:1">
      <c r="A998" s="111"/>
    </row>
    <row r="999" spans="1:1">
      <c r="A999" s="111"/>
    </row>
    <row r="1000" spans="1:1">
      <c r="A1000" s="111"/>
    </row>
    <row r="1001" spans="1:1">
      <c r="A1001" s="111"/>
    </row>
  </sheetData>
  <sheetProtection algorithmName="SHA-512" hashValue="A2kWV/arRPpE5wHCC7xdsikxXIR4c0Cp1f2OUNqXgKyVP/1y7RRuGGQhLqFKuBwHmtspdCy1eZ9w7cArCypnsw==" saltValue="JDonKl8FK8mBS+5BYIEr9g==" spinCount="100000" sheet="1" objects="1" scenarios="1" selectLockedCells="1"/>
  <mergeCells count="7">
    <mergeCell ref="B57:M57"/>
    <mergeCell ref="B2:M2"/>
    <mergeCell ref="B50:E50"/>
    <mergeCell ref="G50:M50"/>
    <mergeCell ref="B55:M55"/>
    <mergeCell ref="B56:I56"/>
    <mergeCell ref="K56:M56"/>
  </mergeCells>
  <pageMargins left="0.25" right="0.25" top="0.25" bottom="0.25" header="0.25" footer="0.25"/>
  <pageSetup scale="7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M164"/>
  <sheetViews>
    <sheetView topLeftCell="A144" workbookViewId="0">
      <selection activeCell="K138" sqref="K138"/>
    </sheetView>
  </sheetViews>
  <sheetFormatPr defaultColWidth="14.42578125" defaultRowHeight="15" customHeight="1"/>
  <cols>
    <col min="1" max="1" width="3.5703125" customWidth="1"/>
    <col min="2" max="2" width="33.7109375" customWidth="1"/>
    <col min="3" max="3" width="64.85546875" customWidth="1"/>
    <col min="4" max="4" width="12.42578125" customWidth="1"/>
    <col min="5" max="5" width="12.85546875" customWidth="1"/>
    <col min="6" max="6" width="11.7109375" customWidth="1"/>
    <col min="7" max="7" width="35.5703125" customWidth="1"/>
    <col min="8" max="8" width="9.5703125" customWidth="1"/>
    <col min="9" max="9" width="9.42578125" customWidth="1"/>
    <col min="10" max="10" width="14.42578125" hidden="1"/>
    <col min="11" max="11" width="11" customWidth="1"/>
    <col min="12" max="12" width="11.28515625" customWidth="1"/>
    <col min="13" max="13" width="11.42578125" customWidth="1"/>
  </cols>
  <sheetData>
    <row r="1" spans="1:13" ht="36.75">
      <c r="A1" s="60"/>
      <c r="B1" s="66" t="s">
        <v>93</v>
      </c>
      <c r="C1" s="67" t="s">
        <v>94</v>
      </c>
      <c r="D1" s="68" t="s">
        <v>95</v>
      </c>
      <c r="E1" s="69" t="s">
        <v>96</v>
      </c>
      <c r="F1" s="70" t="s">
        <v>97</v>
      </c>
      <c r="G1" s="71" t="s">
        <v>98</v>
      </c>
      <c r="H1" s="71" t="s">
        <v>99</v>
      </c>
      <c r="I1" s="72" t="s">
        <v>100</v>
      </c>
      <c r="J1" s="73" t="s">
        <v>101</v>
      </c>
      <c r="K1" s="74" t="s">
        <v>102</v>
      </c>
      <c r="L1" s="75" t="s">
        <v>103</v>
      </c>
      <c r="M1" s="71" t="s">
        <v>104</v>
      </c>
    </row>
    <row r="2" spans="1:13" ht="23.25">
      <c r="A2" s="57"/>
      <c r="B2" s="914" t="s">
        <v>284</v>
      </c>
      <c r="C2" s="915"/>
      <c r="D2" s="915"/>
      <c r="E2" s="915"/>
      <c r="F2" s="915"/>
      <c r="G2" s="915"/>
      <c r="H2" s="915"/>
      <c r="I2" s="915"/>
      <c r="J2" s="915"/>
      <c r="K2" s="915"/>
      <c r="L2" s="915"/>
      <c r="M2" s="916"/>
    </row>
    <row r="3" spans="1:13" ht="15.75">
      <c r="A3" s="57">
        <v>1</v>
      </c>
      <c r="B3" s="927" t="s">
        <v>285</v>
      </c>
      <c r="C3" s="94" t="s">
        <v>286</v>
      </c>
      <c r="D3" s="109" t="s">
        <v>287</v>
      </c>
      <c r="E3" s="660" t="s">
        <v>284</v>
      </c>
      <c r="F3" s="682"/>
      <c r="G3" s="168" t="s">
        <v>288</v>
      </c>
      <c r="H3" s="97" t="s">
        <v>142</v>
      </c>
      <c r="I3" s="98">
        <v>75</v>
      </c>
      <c r="J3" s="106">
        <f>(K3*8%)+K3</f>
        <v>0</v>
      </c>
      <c r="K3" s="732"/>
      <c r="L3" s="169">
        <f t="shared" ref="L3:L4" si="0">K3/170</f>
        <v>0</v>
      </c>
      <c r="M3" s="100">
        <f>(I3*K3)</f>
        <v>0</v>
      </c>
    </row>
    <row r="4" spans="1:13" ht="15.75">
      <c r="A4" s="63"/>
      <c r="B4" s="928"/>
      <c r="C4" s="170" t="s">
        <v>289</v>
      </c>
      <c r="D4" s="118"/>
      <c r="E4" s="669"/>
      <c r="F4" s="662"/>
      <c r="G4" s="119"/>
      <c r="H4" s="120"/>
      <c r="I4" s="121"/>
      <c r="J4" s="140"/>
      <c r="K4" s="733"/>
      <c r="L4" s="171">
        <f t="shared" si="0"/>
        <v>0</v>
      </c>
      <c r="M4" s="172" t="s">
        <v>290</v>
      </c>
    </row>
    <row r="5" spans="1:13" ht="48.75">
      <c r="A5" s="57">
        <v>2</v>
      </c>
      <c r="B5" s="76" t="s">
        <v>291</v>
      </c>
      <c r="C5" s="173" t="s">
        <v>292</v>
      </c>
      <c r="D5" s="109" t="s">
        <v>293</v>
      </c>
      <c r="E5" s="683" t="s">
        <v>284</v>
      </c>
      <c r="F5" s="657"/>
      <c r="G5" s="174" t="s">
        <v>294</v>
      </c>
      <c r="H5" s="97" t="s">
        <v>142</v>
      </c>
      <c r="I5" s="175">
        <v>20</v>
      </c>
      <c r="J5" s="106"/>
      <c r="K5" s="732"/>
      <c r="L5" s="169">
        <f>K5/96</f>
        <v>0</v>
      </c>
      <c r="M5" s="100">
        <f>I5*K5</f>
        <v>0</v>
      </c>
    </row>
    <row r="6" spans="1:13" ht="15.75">
      <c r="A6" s="63"/>
      <c r="B6" s="112"/>
      <c r="C6" s="176" t="s">
        <v>295</v>
      </c>
      <c r="D6" s="78"/>
      <c r="E6" s="652"/>
      <c r="F6" s="653"/>
      <c r="G6" s="177" t="s">
        <v>296</v>
      </c>
      <c r="H6" s="80"/>
      <c r="I6" s="81"/>
      <c r="J6" s="114"/>
      <c r="K6" s="734"/>
      <c r="L6" s="178"/>
      <c r="M6" s="115"/>
    </row>
    <row r="7" spans="1:13" ht="15.75">
      <c r="A7" s="53">
        <v>3</v>
      </c>
      <c r="B7" s="116" t="s">
        <v>297</v>
      </c>
      <c r="C7" s="153" t="s">
        <v>298</v>
      </c>
      <c r="D7" s="179" t="s">
        <v>299</v>
      </c>
      <c r="E7" s="663" t="s">
        <v>284</v>
      </c>
      <c r="F7" s="666"/>
      <c r="G7" s="180" t="s">
        <v>300</v>
      </c>
      <c r="H7" s="120" t="s">
        <v>142</v>
      </c>
      <c r="I7" s="121">
        <v>10</v>
      </c>
      <c r="J7" s="91"/>
      <c r="K7" s="735"/>
      <c r="L7" s="181">
        <f>K7/110</f>
        <v>0</v>
      </c>
      <c r="M7" s="182">
        <f>I7*K7</f>
        <v>0</v>
      </c>
    </row>
    <row r="8" spans="1:13" ht="15.75">
      <c r="B8" s="112"/>
      <c r="C8" s="146" t="s">
        <v>301</v>
      </c>
      <c r="D8" s="126"/>
      <c r="E8" s="664"/>
      <c r="F8" s="684"/>
      <c r="G8" s="177"/>
      <c r="H8" s="80"/>
      <c r="I8" s="81"/>
      <c r="J8" s="127"/>
      <c r="K8" s="736"/>
      <c r="L8" s="183"/>
      <c r="M8" s="184"/>
    </row>
    <row r="9" spans="1:13" ht="15.75">
      <c r="A9" s="53">
        <v>4</v>
      </c>
      <c r="B9" s="116" t="s">
        <v>302</v>
      </c>
      <c r="C9" s="153" t="s">
        <v>303</v>
      </c>
      <c r="D9" s="185" t="s">
        <v>304</v>
      </c>
      <c r="E9" s="663" t="s">
        <v>284</v>
      </c>
      <c r="F9" s="662"/>
      <c r="G9" s="186" t="s">
        <v>305</v>
      </c>
      <c r="H9" s="120" t="s">
        <v>142</v>
      </c>
      <c r="I9" s="121">
        <v>15</v>
      </c>
      <c r="J9" s="187">
        <f t="shared" ref="J9:J10" si="1">(K9*8%)+K9</f>
        <v>0</v>
      </c>
      <c r="K9" s="735"/>
      <c r="L9" s="188">
        <f t="shared" ref="L9:L10" si="2">K9/221</f>
        <v>0</v>
      </c>
      <c r="M9" s="100">
        <f>I9*K9</f>
        <v>0</v>
      </c>
    </row>
    <row r="10" spans="1:13" ht="15.75">
      <c r="B10" s="112"/>
      <c r="C10" s="134" t="s">
        <v>306</v>
      </c>
      <c r="D10" s="78"/>
      <c r="E10" s="664"/>
      <c r="F10" s="662"/>
      <c r="G10" s="189"/>
      <c r="H10" s="190"/>
      <c r="I10" s="191"/>
      <c r="J10" s="91">
        <f t="shared" si="1"/>
        <v>0</v>
      </c>
      <c r="K10" s="735"/>
      <c r="L10" s="192">
        <f t="shared" si="2"/>
        <v>0</v>
      </c>
      <c r="M10" s="115"/>
    </row>
    <row r="11" spans="1:13" ht="15.75">
      <c r="A11" s="53">
        <v>5</v>
      </c>
      <c r="B11" s="116" t="s">
        <v>307</v>
      </c>
      <c r="C11" s="153" t="s">
        <v>308</v>
      </c>
      <c r="D11" s="185" t="s">
        <v>309</v>
      </c>
      <c r="E11" s="663" t="s">
        <v>284</v>
      </c>
      <c r="F11" s="685"/>
      <c r="G11" s="186" t="s">
        <v>310</v>
      </c>
      <c r="H11" s="120" t="s">
        <v>142</v>
      </c>
      <c r="I11" s="121">
        <v>10</v>
      </c>
      <c r="J11" s="91"/>
      <c r="K11" s="737"/>
      <c r="L11" s="181">
        <f>K11/211</f>
        <v>0</v>
      </c>
      <c r="M11" s="182">
        <f>I11*K11</f>
        <v>0</v>
      </c>
    </row>
    <row r="12" spans="1:13" ht="15.75">
      <c r="B12" s="112"/>
      <c r="C12" s="134" t="s">
        <v>311</v>
      </c>
      <c r="D12" s="193"/>
      <c r="E12" s="664"/>
      <c r="F12" s="684"/>
      <c r="G12" s="177"/>
      <c r="H12" s="80"/>
      <c r="I12" s="81"/>
      <c r="J12" s="127"/>
      <c r="K12" s="736"/>
      <c r="L12" s="194"/>
      <c r="M12" s="184"/>
    </row>
    <row r="13" spans="1:13" ht="15.75">
      <c r="A13" s="53">
        <v>6</v>
      </c>
      <c r="B13" s="76" t="s">
        <v>312</v>
      </c>
      <c r="C13" s="138" t="s">
        <v>313</v>
      </c>
      <c r="D13" s="185" t="s">
        <v>314</v>
      </c>
      <c r="E13" s="665" t="s">
        <v>284</v>
      </c>
      <c r="F13" s="657"/>
      <c r="G13" s="168" t="s">
        <v>315</v>
      </c>
      <c r="H13" s="97" t="s">
        <v>142</v>
      </c>
      <c r="I13" s="98">
        <v>16</v>
      </c>
      <c r="J13" s="91">
        <f t="shared" ref="J13:J14" si="3">(K13*8%)+K13</f>
        <v>0</v>
      </c>
      <c r="K13" s="738"/>
      <c r="L13" s="169">
        <f t="shared" ref="L13:L14" si="4">K13/480</f>
        <v>0</v>
      </c>
      <c r="M13" s="195">
        <f>I13*K13</f>
        <v>0</v>
      </c>
    </row>
    <row r="14" spans="1:13" ht="15.75">
      <c r="B14" s="112"/>
      <c r="C14" s="162"/>
      <c r="D14" s="130"/>
      <c r="E14" s="664"/>
      <c r="F14" s="653"/>
      <c r="G14" s="189"/>
      <c r="H14" s="190"/>
      <c r="I14" s="191"/>
      <c r="J14" s="91">
        <f t="shared" si="3"/>
        <v>0</v>
      </c>
      <c r="K14" s="738"/>
      <c r="L14" s="171">
        <f t="shared" si="4"/>
        <v>0</v>
      </c>
      <c r="M14" s="196" t="s">
        <v>254</v>
      </c>
    </row>
    <row r="15" spans="1:13" ht="15.75">
      <c r="A15" s="53">
        <v>7</v>
      </c>
      <c r="B15" s="116" t="s">
        <v>316</v>
      </c>
      <c r="C15" s="197" t="s">
        <v>317</v>
      </c>
      <c r="D15" s="198" t="s">
        <v>318</v>
      </c>
      <c r="E15" s="686" t="s">
        <v>284</v>
      </c>
      <c r="F15" s="666"/>
      <c r="G15" s="199" t="s">
        <v>319</v>
      </c>
      <c r="H15" s="120" t="s">
        <v>142</v>
      </c>
      <c r="I15" s="121">
        <v>10</v>
      </c>
      <c r="J15" s="91"/>
      <c r="K15" s="739"/>
      <c r="L15" s="169">
        <f>K15/240</f>
        <v>0</v>
      </c>
      <c r="M15" s="182"/>
    </row>
    <row r="16" spans="1:13" ht="15.75">
      <c r="B16" s="116"/>
      <c r="C16" s="197" t="s">
        <v>320</v>
      </c>
      <c r="D16" s="126"/>
      <c r="E16" s="686"/>
      <c r="F16" s="666"/>
      <c r="G16" s="119"/>
      <c r="H16" s="120"/>
      <c r="I16" s="121"/>
      <c r="J16" s="91"/>
      <c r="K16" s="740"/>
      <c r="L16" s="200"/>
      <c r="M16" s="182"/>
    </row>
    <row r="17" spans="1:13" ht="15.75">
      <c r="A17" s="53">
        <v>8</v>
      </c>
      <c r="B17" s="76" t="s">
        <v>321</v>
      </c>
      <c r="C17" s="138" t="s">
        <v>322</v>
      </c>
      <c r="D17" s="185" t="s">
        <v>323</v>
      </c>
      <c r="E17" s="665" t="s">
        <v>284</v>
      </c>
      <c r="F17" s="657"/>
      <c r="G17" s="168" t="s">
        <v>324</v>
      </c>
      <c r="H17" s="97" t="s">
        <v>142</v>
      </c>
      <c r="I17" s="98">
        <v>8</v>
      </c>
      <c r="J17" s="91">
        <f t="shared" ref="J17:J19" si="5">(K17*8%)+K17</f>
        <v>0</v>
      </c>
      <c r="K17" s="738"/>
      <c r="L17" s="169">
        <f t="shared" ref="L17:L18" si="6">K17/212</f>
        <v>0</v>
      </c>
      <c r="M17" s="195">
        <f>I17*K17</f>
        <v>0</v>
      </c>
    </row>
    <row r="18" spans="1:13" ht="15.75">
      <c r="B18" s="112"/>
      <c r="C18" s="162"/>
      <c r="D18" s="126"/>
      <c r="E18" s="664"/>
      <c r="F18" s="653"/>
      <c r="G18" s="79"/>
      <c r="H18" s="80"/>
      <c r="I18" s="81"/>
      <c r="J18" s="91">
        <f t="shared" si="5"/>
        <v>0</v>
      </c>
      <c r="K18" s="738"/>
      <c r="L18" s="171">
        <f t="shared" si="6"/>
        <v>0</v>
      </c>
      <c r="M18" s="184"/>
    </row>
    <row r="19" spans="1:13" ht="15.75">
      <c r="A19" s="53">
        <v>9</v>
      </c>
      <c r="B19" s="76" t="s">
        <v>325</v>
      </c>
      <c r="C19" s="201" t="s">
        <v>326</v>
      </c>
      <c r="D19" s="185" t="s">
        <v>314</v>
      </c>
      <c r="E19" s="687" t="s">
        <v>284</v>
      </c>
      <c r="F19" s="688"/>
      <c r="G19" s="168" t="s">
        <v>327</v>
      </c>
      <c r="H19" s="76" t="s">
        <v>142</v>
      </c>
      <c r="I19" s="202">
        <v>10</v>
      </c>
      <c r="J19" s="91">
        <f t="shared" si="5"/>
        <v>0</v>
      </c>
      <c r="K19" s="741"/>
      <c r="L19" s="203">
        <f t="shared" ref="L19:L22" si="7">K19/480</f>
        <v>0</v>
      </c>
      <c r="M19" s="204">
        <f>I19*K19</f>
        <v>0</v>
      </c>
    </row>
    <row r="20" spans="1:13" ht="15.75">
      <c r="B20" s="205"/>
      <c r="C20" s="206"/>
      <c r="D20" s="126"/>
      <c r="E20" s="663"/>
      <c r="F20" s="689"/>
      <c r="G20" s="207"/>
      <c r="H20" s="208"/>
      <c r="I20" s="209"/>
      <c r="J20" s="91"/>
      <c r="K20" s="742"/>
      <c r="L20" s="210">
        <f t="shared" si="7"/>
        <v>0</v>
      </c>
      <c r="M20" s="211" t="s">
        <v>254</v>
      </c>
    </row>
    <row r="21" spans="1:13" ht="15.75">
      <c r="A21" s="53">
        <v>10</v>
      </c>
      <c r="B21" s="927" t="s">
        <v>328</v>
      </c>
      <c r="C21" s="138" t="s">
        <v>329</v>
      </c>
      <c r="D21" s="185" t="s">
        <v>314</v>
      </c>
      <c r="E21" s="665" t="s">
        <v>284</v>
      </c>
      <c r="F21" s="657"/>
      <c r="G21" s="168" t="s">
        <v>330</v>
      </c>
      <c r="H21" s="97" t="s">
        <v>142</v>
      </c>
      <c r="I21" s="98">
        <v>17</v>
      </c>
      <c r="J21" s="91">
        <f>(K21*8%)+K21</f>
        <v>0</v>
      </c>
      <c r="K21" s="738"/>
      <c r="L21" s="169">
        <f t="shared" si="7"/>
        <v>0</v>
      </c>
      <c r="M21" s="195">
        <f>I21*K21</f>
        <v>0</v>
      </c>
    </row>
    <row r="22" spans="1:13" ht="15.75">
      <c r="B22" s="928"/>
      <c r="C22" s="162"/>
      <c r="D22" s="126"/>
      <c r="E22" s="664"/>
      <c r="F22" s="653"/>
      <c r="G22" s="189"/>
      <c r="H22" s="190"/>
      <c r="I22" s="191"/>
      <c r="J22" s="91"/>
      <c r="K22" s="738"/>
      <c r="L22" s="212">
        <f t="shared" si="7"/>
        <v>0</v>
      </c>
      <c r="M22" s="196" t="s">
        <v>254</v>
      </c>
    </row>
    <row r="23" spans="1:13" ht="15.75">
      <c r="A23" s="53">
        <v>11</v>
      </c>
      <c r="B23" s="112" t="s">
        <v>331</v>
      </c>
      <c r="C23" s="213" t="s">
        <v>332</v>
      </c>
      <c r="D23" s="78" t="s">
        <v>333</v>
      </c>
      <c r="E23" s="664" t="s">
        <v>284</v>
      </c>
      <c r="F23" s="653"/>
      <c r="G23" s="214" t="s">
        <v>334</v>
      </c>
      <c r="H23" s="215" t="s">
        <v>142</v>
      </c>
      <c r="I23" s="216">
        <v>52</v>
      </c>
      <c r="J23" s="106"/>
      <c r="K23" s="743"/>
      <c r="L23" s="169">
        <f>K23/960</f>
        <v>0</v>
      </c>
      <c r="M23" s="195">
        <f t="shared" ref="M23:M32" si="8">I23*K23</f>
        <v>0</v>
      </c>
    </row>
    <row r="24" spans="1:13" ht="15.75">
      <c r="A24" s="53">
        <v>12</v>
      </c>
      <c r="B24" s="112" t="s">
        <v>335</v>
      </c>
      <c r="C24" s="213" t="s">
        <v>336</v>
      </c>
      <c r="D24" s="217" t="s">
        <v>337</v>
      </c>
      <c r="E24" s="654" t="s">
        <v>284</v>
      </c>
      <c r="F24" s="653"/>
      <c r="G24" s="214" t="s">
        <v>338</v>
      </c>
      <c r="H24" s="80" t="s">
        <v>142</v>
      </c>
      <c r="I24" s="90">
        <v>8</v>
      </c>
      <c r="J24" s="127"/>
      <c r="K24" s="744"/>
      <c r="L24" s="169">
        <f t="shared" ref="L24:L29" si="9">K24/640</f>
        <v>0</v>
      </c>
      <c r="M24" s="195">
        <f t="shared" si="8"/>
        <v>0</v>
      </c>
    </row>
    <row r="25" spans="1:13" ht="15.75">
      <c r="A25" s="53">
        <v>13</v>
      </c>
      <c r="B25" s="85" t="s">
        <v>339</v>
      </c>
      <c r="C25" s="160" t="s">
        <v>340</v>
      </c>
      <c r="D25" s="217" t="s">
        <v>337</v>
      </c>
      <c r="E25" s="654" t="s">
        <v>284</v>
      </c>
      <c r="F25" s="655"/>
      <c r="G25" s="151" t="s">
        <v>341</v>
      </c>
      <c r="H25" s="89" t="s">
        <v>142</v>
      </c>
      <c r="I25" s="90">
        <v>6</v>
      </c>
      <c r="J25" s="127">
        <f>(K25*8%)+K25</f>
        <v>0</v>
      </c>
      <c r="K25" s="744"/>
      <c r="L25" s="218">
        <f t="shared" si="9"/>
        <v>0</v>
      </c>
      <c r="M25" s="152">
        <f t="shared" si="8"/>
        <v>0</v>
      </c>
    </row>
    <row r="26" spans="1:13" ht="15.75">
      <c r="A26" s="53">
        <v>14</v>
      </c>
      <c r="B26" s="219" t="s">
        <v>342</v>
      </c>
      <c r="C26" s="160" t="s">
        <v>343</v>
      </c>
      <c r="D26" s="217" t="s">
        <v>337</v>
      </c>
      <c r="E26" s="654" t="s">
        <v>284</v>
      </c>
      <c r="F26" s="655"/>
      <c r="G26" s="151" t="s">
        <v>344</v>
      </c>
      <c r="H26" s="89" t="s">
        <v>142</v>
      </c>
      <c r="I26" s="90">
        <v>10</v>
      </c>
      <c r="J26" s="127"/>
      <c r="K26" s="744"/>
      <c r="L26" s="218">
        <f t="shared" si="9"/>
        <v>0</v>
      </c>
      <c r="M26" s="152">
        <f t="shared" si="8"/>
        <v>0</v>
      </c>
    </row>
    <row r="27" spans="1:13" ht="15.75">
      <c r="A27" s="53">
        <v>15</v>
      </c>
      <c r="B27" s="219" t="s">
        <v>345</v>
      </c>
      <c r="C27" s="160" t="s">
        <v>346</v>
      </c>
      <c r="D27" s="217" t="s">
        <v>337</v>
      </c>
      <c r="E27" s="654" t="s">
        <v>284</v>
      </c>
      <c r="F27" s="655"/>
      <c r="G27" s="151" t="s">
        <v>347</v>
      </c>
      <c r="H27" s="89" t="s">
        <v>142</v>
      </c>
      <c r="I27" s="90">
        <v>14</v>
      </c>
      <c r="J27" s="127">
        <f>(K27*8%)+K27</f>
        <v>0</v>
      </c>
      <c r="K27" s="744"/>
      <c r="L27" s="218">
        <f t="shared" si="9"/>
        <v>0</v>
      </c>
      <c r="M27" s="152">
        <f t="shared" si="8"/>
        <v>0</v>
      </c>
    </row>
    <row r="28" spans="1:13" ht="15.75">
      <c r="A28" s="53">
        <v>16</v>
      </c>
      <c r="B28" s="85" t="s">
        <v>348</v>
      </c>
      <c r="C28" s="160" t="s">
        <v>349</v>
      </c>
      <c r="D28" s="217" t="s">
        <v>350</v>
      </c>
      <c r="E28" s="654" t="s">
        <v>284</v>
      </c>
      <c r="F28" s="655"/>
      <c r="G28" s="151" t="s">
        <v>351</v>
      </c>
      <c r="H28" s="89" t="s">
        <v>142</v>
      </c>
      <c r="I28" s="90">
        <v>20</v>
      </c>
      <c r="J28" s="127"/>
      <c r="K28" s="744"/>
      <c r="L28" s="218">
        <f t="shared" si="9"/>
        <v>0</v>
      </c>
      <c r="M28" s="152">
        <f t="shared" si="8"/>
        <v>0</v>
      </c>
    </row>
    <row r="29" spans="1:13" ht="15.75">
      <c r="A29" s="53">
        <v>17</v>
      </c>
      <c r="B29" s="85" t="s">
        <v>352</v>
      </c>
      <c r="C29" s="160" t="s">
        <v>353</v>
      </c>
      <c r="D29" s="217" t="s">
        <v>350</v>
      </c>
      <c r="E29" s="654" t="s">
        <v>284</v>
      </c>
      <c r="F29" s="655"/>
      <c r="G29" s="151" t="s">
        <v>354</v>
      </c>
      <c r="H29" s="89" t="s">
        <v>142</v>
      </c>
      <c r="I29" s="90">
        <v>20</v>
      </c>
      <c r="J29" s="127"/>
      <c r="K29" s="744"/>
      <c r="L29" s="218">
        <f t="shared" si="9"/>
        <v>0</v>
      </c>
      <c r="M29" s="152">
        <f t="shared" si="8"/>
        <v>0</v>
      </c>
    </row>
    <row r="30" spans="1:13" ht="15.75">
      <c r="A30" s="53">
        <v>18</v>
      </c>
      <c r="B30" s="76" t="s">
        <v>355</v>
      </c>
      <c r="C30" s="160" t="s">
        <v>356</v>
      </c>
      <c r="D30" s="220" t="s">
        <v>357</v>
      </c>
      <c r="E30" s="654" t="s">
        <v>284</v>
      </c>
      <c r="F30" s="655"/>
      <c r="G30" s="151" t="s">
        <v>358</v>
      </c>
      <c r="H30" s="89" t="s">
        <v>142</v>
      </c>
      <c r="I30" s="90">
        <v>30</v>
      </c>
      <c r="J30" s="127">
        <f>(K30*8%)+K30</f>
        <v>0</v>
      </c>
      <c r="K30" s="744"/>
      <c r="L30" s="218">
        <f t="shared" ref="L30:L31" si="10">K30/168</f>
        <v>0</v>
      </c>
      <c r="M30" s="152">
        <f t="shared" si="8"/>
        <v>0</v>
      </c>
    </row>
    <row r="31" spans="1:13" ht="15.75">
      <c r="A31" s="53">
        <v>19</v>
      </c>
      <c r="B31" s="221" t="s">
        <v>359</v>
      </c>
      <c r="C31" s="160" t="s">
        <v>360</v>
      </c>
      <c r="D31" s="220" t="s">
        <v>361</v>
      </c>
      <c r="E31" s="654" t="s">
        <v>284</v>
      </c>
      <c r="F31" s="655"/>
      <c r="G31" s="151" t="s">
        <v>362</v>
      </c>
      <c r="H31" s="89" t="s">
        <v>142</v>
      </c>
      <c r="I31" s="90">
        <v>15</v>
      </c>
      <c r="J31" s="127"/>
      <c r="K31" s="744"/>
      <c r="L31" s="218">
        <f t="shared" si="10"/>
        <v>0</v>
      </c>
      <c r="M31" s="152">
        <f t="shared" si="8"/>
        <v>0</v>
      </c>
    </row>
    <row r="32" spans="1:13" ht="15.75">
      <c r="A32" s="53">
        <v>20</v>
      </c>
      <c r="B32" s="927" t="s">
        <v>363</v>
      </c>
      <c r="C32" s="222" t="s">
        <v>364</v>
      </c>
      <c r="D32" s="929" t="s">
        <v>216</v>
      </c>
      <c r="E32" s="665" t="s">
        <v>284</v>
      </c>
      <c r="F32" s="690"/>
      <c r="G32" s="96" t="s">
        <v>365</v>
      </c>
      <c r="H32" s="97" t="s">
        <v>142</v>
      </c>
      <c r="I32" s="98">
        <v>50</v>
      </c>
      <c r="J32" s="91">
        <f>(K32*8%)+K32</f>
        <v>0</v>
      </c>
      <c r="K32" s="735"/>
      <c r="L32" s="181">
        <f t="shared" ref="L32:L33" si="11">K32/54</f>
        <v>0</v>
      </c>
      <c r="M32" s="100">
        <f t="shared" si="8"/>
        <v>0</v>
      </c>
    </row>
    <row r="33" spans="1:13" ht="15.75">
      <c r="B33" s="928"/>
      <c r="C33" s="223" t="s">
        <v>366</v>
      </c>
      <c r="D33" s="928"/>
      <c r="E33" s="664"/>
      <c r="F33" s="691"/>
      <c r="G33" s="207"/>
      <c r="H33" s="208"/>
      <c r="I33" s="209"/>
      <c r="J33" s="91"/>
      <c r="K33" s="735"/>
      <c r="L33" s="224">
        <f t="shared" si="11"/>
        <v>0</v>
      </c>
      <c r="M33" s="115"/>
    </row>
    <row r="34" spans="1:13" ht="15.75">
      <c r="A34" s="53">
        <v>21</v>
      </c>
      <c r="B34" s="927" t="s">
        <v>367</v>
      </c>
      <c r="C34" s="138" t="s">
        <v>368</v>
      </c>
      <c r="D34" s="185" t="s">
        <v>304</v>
      </c>
      <c r="E34" s="665" t="s">
        <v>284</v>
      </c>
      <c r="F34" s="657"/>
      <c r="G34" s="96" t="s">
        <v>369</v>
      </c>
      <c r="H34" s="97" t="s">
        <v>142</v>
      </c>
      <c r="I34" s="98">
        <v>10</v>
      </c>
      <c r="J34" s="91">
        <f>(K34*8%)+K34</f>
        <v>0</v>
      </c>
      <c r="K34" s="737"/>
      <c r="L34" s="181">
        <f t="shared" ref="L34:L35" si="12">K34/30</f>
        <v>0</v>
      </c>
      <c r="M34" s="100">
        <f>K34*I34</f>
        <v>0</v>
      </c>
    </row>
    <row r="35" spans="1:13" ht="15.75">
      <c r="B35" s="928"/>
      <c r="C35" s="213" t="s">
        <v>370</v>
      </c>
      <c r="D35" s="126"/>
      <c r="E35" s="664"/>
      <c r="F35" s="653"/>
      <c r="G35" s="189" t="s">
        <v>371</v>
      </c>
      <c r="H35" s="80"/>
      <c r="I35" s="81"/>
      <c r="J35" s="91"/>
      <c r="K35" s="736"/>
      <c r="L35" s="224">
        <f t="shared" si="12"/>
        <v>0</v>
      </c>
      <c r="M35" s="115"/>
    </row>
    <row r="36" spans="1:13" ht="15.75">
      <c r="A36" s="53">
        <v>22</v>
      </c>
      <c r="B36" s="930" t="s">
        <v>372</v>
      </c>
      <c r="C36" s="153" t="s">
        <v>373</v>
      </c>
      <c r="D36" s="185" t="s">
        <v>374</v>
      </c>
      <c r="E36" s="661" t="s">
        <v>284</v>
      </c>
      <c r="F36" s="662"/>
      <c r="G36" s="119" t="s">
        <v>375</v>
      </c>
      <c r="H36" s="120" t="s">
        <v>142</v>
      </c>
      <c r="I36" s="121">
        <v>30</v>
      </c>
      <c r="J36" s="82">
        <f>(K36*8%)+K36</f>
        <v>0</v>
      </c>
      <c r="K36" s="735"/>
      <c r="L36" s="225">
        <f t="shared" ref="L36:L37" si="13">K36/160</f>
        <v>0</v>
      </c>
      <c r="M36" s="123">
        <f>I36*K36</f>
        <v>0</v>
      </c>
    </row>
    <row r="37" spans="1:13" ht="15.75">
      <c r="B37" s="928"/>
      <c r="C37" s="226" t="s">
        <v>376</v>
      </c>
      <c r="D37" s="227"/>
      <c r="E37" s="664"/>
      <c r="F37" s="653"/>
      <c r="G37" s="207"/>
      <c r="H37" s="208"/>
      <c r="I37" s="209"/>
      <c r="J37" s="91"/>
      <c r="K37" s="736"/>
      <c r="L37" s="224">
        <f t="shared" si="13"/>
        <v>0</v>
      </c>
      <c r="M37" s="115"/>
    </row>
    <row r="38" spans="1:13" ht="15.75">
      <c r="A38" s="53">
        <v>23</v>
      </c>
      <c r="B38" s="927" t="s">
        <v>377</v>
      </c>
      <c r="C38" s="222" t="s">
        <v>378</v>
      </c>
      <c r="D38" s="198" t="s">
        <v>379</v>
      </c>
      <c r="E38" s="665" t="s">
        <v>284</v>
      </c>
      <c r="F38" s="692"/>
      <c r="G38" s="96" t="s">
        <v>380</v>
      </c>
      <c r="H38" s="97" t="s">
        <v>142</v>
      </c>
      <c r="I38" s="228">
        <v>35</v>
      </c>
      <c r="J38" s="91">
        <f>(K38*8%)+K38</f>
        <v>0</v>
      </c>
      <c r="K38" s="735"/>
      <c r="L38" s="181">
        <f t="shared" ref="L38:L43" si="14">K38/150</f>
        <v>0</v>
      </c>
      <c r="M38" s="100">
        <f>I38*K38</f>
        <v>0</v>
      </c>
    </row>
    <row r="39" spans="1:13" ht="15.75">
      <c r="B39" s="931"/>
      <c r="C39" s="185" t="s">
        <v>381</v>
      </c>
      <c r="D39" s="229"/>
      <c r="E39" s="663"/>
      <c r="F39" s="693"/>
      <c r="G39" s="207" t="s">
        <v>382</v>
      </c>
      <c r="H39" s="208"/>
      <c r="I39" s="209"/>
      <c r="J39" s="91"/>
      <c r="K39" s="735"/>
      <c r="L39" s="224">
        <f t="shared" si="14"/>
        <v>0</v>
      </c>
      <c r="M39" s="123"/>
    </row>
    <row r="40" spans="1:13" ht="15.75">
      <c r="A40" s="53">
        <v>24</v>
      </c>
      <c r="B40" s="927" t="s">
        <v>383</v>
      </c>
      <c r="C40" s="222" t="s">
        <v>384</v>
      </c>
      <c r="D40" s="230" t="s">
        <v>385</v>
      </c>
      <c r="E40" s="665" t="s">
        <v>284</v>
      </c>
      <c r="F40" s="690"/>
      <c r="G40" s="96" t="s">
        <v>386</v>
      </c>
      <c r="H40" s="97" t="s">
        <v>142</v>
      </c>
      <c r="I40" s="98">
        <v>30</v>
      </c>
      <c r="J40" s="91">
        <f>(K40*8%)+K40</f>
        <v>0</v>
      </c>
      <c r="K40" s="737"/>
      <c r="L40" s="181">
        <f t="shared" si="14"/>
        <v>0</v>
      </c>
      <c r="M40" s="100">
        <f>K40*I40</f>
        <v>0</v>
      </c>
    </row>
    <row r="41" spans="1:13" ht="15.75">
      <c r="B41" s="928"/>
      <c r="C41" s="231" t="s">
        <v>387</v>
      </c>
      <c r="D41" s="232"/>
      <c r="E41" s="663"/>
      <c r="F41" s="694"/>
      <c r="G41" s="207"/>
      <c r="H41" s="208"/>
      <c r="I41" s="209"/>
      <c r="J41" s="91"/>
      <c r="K41" s="736"/>
      <c r="L41" s="224">
        <f t="shared" si="14"/>
        <v>0</v>
      </c>
      <c r="M41" s="123"/>
    </row>
    <row r="42" spans="1:13" ht="15.75">
      <c r="A42" s="53">
        <v>25</v>
      </c>
      <c r="B42" s="927" t="s">
        <v>388</v>
      </c>
      <c r="C42" s="94" t="s">
        <v>389</v>
      </c>
      <c r="D42" s="185" t="s">
        <v>390</v>
      </c>
      <c r="E42" s="665" t="s">
        <v>284</v>
      </c>
      <c r="F42" s="657"/>
      <c r="G42" s="96" t="s">
        <v>391</v>
      </c>
      <c r="H42" s="97" t="s">
        <v>142</v>
      </c>
      <c r="I42" s="98">
        <v>30</v>
      </c>
      <c r="J42" s="91">
        <f>(K42*8%)+K42</f>
        <v>0</v>
      </c>
      <c r="K42" s="735"/>
      <c r="L42" s="181">
        <f t="shared" si="14"/>
        <v>0</v>
      </c>
      <c r="M42" s="100">
        <f>I42*K42</f>
        <v>0</v>
      </c>
    </row>
    <row r="43" spans="1:13" ht="15.75">
      <c r="B43" s="928"/>
      <c r="C43" s="226" t="s">
        <v>392</v>
      </c>
      <c r="D43" s="78"/>
      <c r="E43" s="664"/>
      <c r="F43" s="653"/>
      <c r="G43" s="189"/>
      <c r="H43" s="190"/>
      <c r="I43" s="191"/>
      <c r="J43" s="91"/>
      <c r="K43" s="735"/>
      <c r="L43" s="224">
        <f t="shared" si="14"/>
        <v>0</v>
      </c>
      <c r="M43" s="115"/>
    </row>
    <row r="44" spans="1:13" ht="15.75">
      <c r="A44" s="53">
        <v>26</v>
      </c>
      <c r="B44" s="930" t="s">
        <v>393</v>
      </c>
      <c r="C44" s="153" t="s">
        <v>394</v>
      </c>
      <c r="D44" s="118" t="s">
        <v>395</v>
      </c>
      <c r="E44" s="663" t="s">
        <v>284</v>
      </c>
      <c r="F44" s="662"/>
      <c r="G44" s="119" t="s">
        <v>396</v>
      </c>
      <c r="H44" s="120" t="s">
        <v>142</v>
      </c>
      <c r="I44" s="121">
        <v>45</v>
      </c>
      <c r="J44" s="187">
        <f>(K44*8%)+K44</f>
        <v>0</v>
      </c>
      <c r="K44" s="737"/>
      <c r="L44" s="188">
        <f t="shared" ref="L44:L45" si="15">K44/117</f>
        <v>0</v>
      </c>
      <c r="M44" s="123">
        <f>I44*K44</f>
        <v>0</v>
      </c>
    </row>
    <row r="45" spans="1:13" ht="15.75">
      <c r="B45" s="928"/>
      <c r="C45" s="226" t="s">
        <v>397</v>
      </c>
      <c r="D45" s="78"/>
      <c r="E45" s="664"/>
      <c r="F45" s="653"/>
      <c r="G45" s="207"/>
      <c r="H45" s="208"/>
      <c r="I45" s="209"/>
      <c r="J45" s="91"/>
      <c r="K45" s="736"/>
      <c r="L45" s="224">
        <f t="shared" si="15"/>
        <v>0</v>
      </c>
      <c r="M45" s="115"/>
    </row>
    <row r="46" spans="1:13" ht="15.75">
      <c r="A46" s="53">
        <v>27</v>
      </c>
      <c r="B46" s="76" t="s">
        <v>398</v>
      </c>
      <c r="C46" s="131" t="s">
        <v>399</v>
      </c>
      <c r="D46" s="185" t="s">
        <v>400</v>
      </c>
      <c r="E46" s="665" t="s">
        <v>284</v>
      </c>
      <c r="F46" s="657"/>
      <c r="G46" s="96" t="s">
        <v>401</v>
      </c>
      <c r="H46" s="97" t="s">
        <v>142</v>
      </c>
      <c r="I46" s="98">
        <v>10</v>
      </c>
      <c r="J46" s="91">
        <f>(K46*8%)+K46</f>
        <v>0</v>
      </c>
      <c r="K46" s="735"/>
      <c r="L46" s="181">
        <f t="shared" ref="L46:L47" si="16">K46/240</f>
        <v>0</v>
      </c>
      <c r="M46" s="100">
        <f>I46*K46</f>
        <v>0</v>
      </c>
    </row>
    <row r="47" spans="1:13" ht="15.75">
      <c r="B47" s="233"/>
      <c r="C47" s="185" t="s">
        <v>402</v>
      </c>
      <c r="D47" s="185"/>
      <c r="E47" s="663"/>
      <c r="F47" s="662"/>
      <c r="G47" s="207"/>
      <c r="H47" s="208"/>
      <c r="I47" s="209"/>
      <c r="J47" s="91"/>
      <c r="K47" s="735"/>
      <c r="L47" s="224">
        <f t="shared" si="16"/>
        <v>0</v>
      </c>
      <c r="M47" s="123"/>
    </row>
    <row r="48" spans="1:13" ht="15.75">
      <c r="A48" s="53">
        <v>28</v>
      </c>
      <c r="B48" s="76" t="s">
        <v>403</v>
      </c>
      <c r="C48" s="131" t="s">
        <v>404</v>
      </c>
      <c r="D48" s="234" t="s">
        <v>405</v>
      </c>
      <c r="E48" s="665" t="s">
        <v>284</v>
      </c>
      <c r="F48" s="657"/>
      <c r="G48" s="96" t="s">
        <v>406</v>
      </c>
      <c r="H48" s="97" t="s">
        <v>142</v>
      </c>
      <c r="I48" s="98">
        <v>20</v>
      </c>
      <c r="J48" s="91">
        <f>(K48*8%)+K48</f>
        <v>0</v>
      </c>
      <c r="K48" s="735"/>
      <c r="L48" s="181">
        <f t="shared" ref="L48:L51" si="17">K48/192</f>
        <v>0</v>
      </c>
      <c r="M48" s="100">
        <f>I48*K48</f>
        <v>0</v>
      </c>
    </row>
    <row r="49" spans="1:13" ht="15.75">
      <c r="B49" s="233"/>
      <c r="C49" s="185" t="s">
        <v>407</v>
      </c>
      <c r="D49" s="185"/>
      <c r="E49" s="663"/>
      <c r="F49" s="662"/>
      <c r="G49" s="207"/>
      <c r="H49" s="208"/>
      <c r="I49" s="209"/>
      <c r="J49" s="91"/>
      <c r="K49" s="735"/>
      <c r="L49" s="224">
        <f t="shared" si="17"/>
        <v>0</v>
      </c>
      <c r="M49" s="123"/>
    </row>
    <row r="50" spans="1:13" ht="15.75">
      <c r="A50" s="53">
        <v>29</v>
      </c>
      <c r="B50" s="76" t="s">
        <v>408</v>
      </c>
      <c r="C50" s="138" t="s">
        <v>409</v>
      </c>
      <c r="D50" s="235" t="s">
        <v>400</v>
      </c>
      <c r="E50" s="665" t="s">
        <v>284</v>
      </c>
      <c r="F50" s="657"/>
      <c r="G50" s="96" t="s">
        <v>410</v>
      </c>
      <c r="H50" s="97" t="s">
        <v>142</v>
      </c>
      <c r="I50" s="98">
        <v>4</v>
      </c>
      <c r="J50" s="91">
        <f>(K50*8%)+K50</f>
        <v>0</v>
      </c>
      <c r="K50" s="737"/>
      <c r="L50" s="181">
        <f t="shared" si="17"/>
        <v>0</v>
      </c>
      <c r="M50" s="100">
        <f>I50*K50</f>
        <v>0</v>
      </c>
    </row>
    <row r="51" spans="1:13" ht="15.75">
      <c r="B51" s="236"/>
      <c r="C51" s="226" t="s">
        <v>411</v>
      </c>
      <c r="D51" s="227"/>
      <c r="E51" s="664"/>
      <c r="F51" s="653"/>
      <c r="G51" s="207"/>
      <c r="H51" s="208"/>
      <c r="I51" s="209"/>
      <c r="J51" s="91"/>
      <c r="K51" s="736"/>
      <c r="L51" s="224">
        <f t="shared" si="17"/>
        <v>0</v>
      </c>
      <c r="M51" s="115"/>
    </row>
    <row r="52" spans="1:13" ht="15.75">
      <c r="A52" s="53">
        <v>30</v>
      </c>
      <c r="B52" s="927" t="s">
        <v>412</v>
      </c>
      <c r="C52" s="131" t="s">
        <v>413</v>
      </c>
      <c r="D52" s="185" t="s">
        <v>400</v>
      </c>
      <c r="E52" s="665" t="s">
        <v>284</v>
      </c>
      <c r="F52" s="657"/>
      <c r="G52" s="168" t="s">
        <v>414</v>
      </c>
      <c r="H52" s="97" t="s">
        <v>142</v>
      </c>
      <c r="I52" s="98">
        <v>13</v>
      </c>
      <c r="J52" s="91">
        <f>(K52*8%)+K52</f>
        <v>0</v>
      </c>
      <c r="K52" s="735"/>
      <c r="L52" s="181">
        <f t="shared" ref="L52:L53" si="18">K52/176</f>
        <v>0</v>
      </c>
      <c r="M52" s="100">
        <f>I52*K52</f>
        <v>0</v>
      </c>
    </row>
    <row r="53" spans="1:13" ht="15.75">
      <c r="B53" s="928"/>
      <c r="C53" s="134" t="s">
        <v>415</v>
      </c>
      <c r="D53" s="193" t="s">
        <v>39</v>
      </c>
      <c r="E53" s="664"/>
      <c r="F53" s="653"/>
      <c r="G53" s="189"/>
      <c r="H53" s="190"/>
      <c r="I53" s="191"/>
      <c r="J53" s="91"/>
      <c r="K53" s="735"/>
      <c r="L53" s="224">
        <f t="shared" si="18"/>
        <v>0</v>
      </c>
      <c r="M53" s="115"/>
    </row>
    <row r="54" spans="1:13" ht="15.75">
      <c r="A54" s="53">
        <v>31</v>
      </c>
      <c r="B54" s="116" t="s">
        <v>416</v>
      </c>
      <c r="C54" s="135" t="s">
        <v>417</v>
      </c>
      <c r="D54" s="185" t="s">
        <v>418</v>
      </c>
      <c r="E54" s="663" t="s">
        <v>284</v>
      </c>
      <c r="F54" s="695"/>
      <c r="G54" s="237" t="s">
        <v>419</v>
      </c>
      <c r="H54" s="238" t="s">
        <v>142</v>
      </c>
      <c r="I54" s="121">
        <v>15</v>
      </c>
      <c r="J54" s="91">
        <f>(K54*8%)+K54</f>
        <v>0</v>
      </c>
      <c r="K54" s="737"/>
      <c r="L54" s="188">
        <f t="shared" ref="L54:L55" si="19">K54/320</f>
        <v>0</v>
      </c>
      <c r="M54" s="100">
        <f>I54*K54</f>
        <v>0</v>
      </c>
    </row>
    <row r="55" spans="1:13" ht="15.75">
      <c r="B55" s="233"/>
      <c r="C55" s="239" t="s">
        <v>420</v>
      </c>
      <c r="D55" s="130"/>
      <c r="E55" s="663"/>
      <c r="F55" s="695"/>
      <c r="G55" s="237"/>
      <c r="H55" s="238"/>
      <c r="I55" s="121"/>
      <c r="J55" s="91"/>
      <c r="K55" s="736"/>
      <c r="L55" s="240">
        <f t="shared" si="19"/>
        <v>0</v>
      </c>
      <c r="M55" s="123"/>
    </row>
    <row r="56" spans="1:13" ht="15.75">
      <c r="A56" s="53">
        <v>32</v>
      </c>
      <c r="B56" s="927" t="s">
        <v>421</v>
      </c>
      <c r="C56" s="138" t="s">
        <v>422</v>
      </c>
      <c r="D56" s="234" t="s">
        <v>423</v>
      </c>
      <c r="E56" s="665" t="s">
        <v>284</v>
      </c>
      <c r="F56" s="696"/>
      <c r="G56" s="242" t="s">
        <v>424</v>
      </c>
      <c r="H56" s="243" t="s">
        <v>142</v>
      </c>
      <c r="I56" s="98">
        <v>41</v>
      </c>
      <c r="J56" s="91">
        <f>(K56*8%)+K56</f>
        <v>0</v>
      </c>
      <c r="K56" s="738"/>
      <c r="L56" s="169">
        <f t="shared" ref="L56:L57" si="20">K56/160</f>
        <v>0</v>
      </c>
      <c r="M56" s="195">
        <f>I56*K56</f>
        <v>0</v>
      </c>
    </row>
    <row r="57" spans="1:13" ht="15.75">
      <c r="B57" s="931"/>
      <c r="C57" s="153" t="s">
        <v>425</v>
      </c>
      <c r="D57" s="244"/>
      <c r="E57" s="697"/>
      <c r="F57" s="695"/>
      <c r="G57" s="207"/>
      <c r="H57" s="208"/>
      <c r="I57" s="209"/>
      <c r="J57" s="91"/>
      <c r="K57" s="738"/>
      <c r="L57" s="171">
        <f t="shared" si="20"/>
        <v>0</v>
      </c>
      <c r="M57" s="182"/>
    </row>
    <row r="58" spans="1:13" ht="15.75">
      <c r="B58" s="928"/>
      <c r="C58" s="213" t="s">
        <v>426</v>
      </c>
      <c r="D58" s="245"/>
      <c r="E58" s="698"/>
      <c r="F58" s="699"/>
      <c r="G58" s="246"/>
      <c r="H58" s="247"/>
      <c r="I58" s="81"/>
      <c r="J58" s="127">
        <f t="shared" ref="J58:J59" si="21">(K58*8%)+K58</f>
        <v>0</v>
      </c>
      <c r="K58" s="740"/>
      <c r="L58" s="178"/>
      <c r="M58" s="184"/>
    </row>
    <row r="59" spans="1:13" ht="15.75">
      <c r="A59" s="53">
        <v>33</v>
      </c>
      <c r="B59" s="927" t="s">
        <v>427</v>
      </c>
      <c r="C59" s="138" t="s">
        <v>428</v>
      </c>
      <c r="D59" s="234" t="s">
        <v>423</v>
      </c>
      <c r="E59" s="665" t="s">
        <v>284</v>
      </c>
      <c r="F59" s="696"/>
      <c r="G59" s="248" t="s">
        <v>429</v>
      </c>
      <c r="H59" s="243" t="s">
        <v>142</v>
      </c>
      <c r="I59" s="98">
        <v>41</v>
      </c>
      <c r="J59" s="91">
        <f t="shared" si="21"/>
        <v>0</v>
      </c>
      <c r="K59" s="738"/>
      <c r="L59" s="169">
        <f t="shared" ref="L59:L60" si="22">K59/160</f>
        <v>0</v>
      </c>
      <c r="M59" s="195">
        <f>I59*K59</f>
        <v>0</v>
      </c>
    </row>
    <row r="60" spans="1:13" ht="15.75">
      <c r="B60" s="931"/>
      <c r="C60" s="153" t="s">
        <v>430</v>
      </c>
      <c r="D60" s="244"/>
      <c r="E60" s="697"/>
      <c r="F60" s="695"/>
      <c r="G60" s="207"/>
      <c r="H60" s="208"/>
      <c r="I60" s="209"/>
      <c r="J60" s="91"/>
      <c r="K60" s="738"/>
      <c r="L60" s="171">
        <f t="shared" si="22"/>
        <v>0</v>
      </c>
      <c r="M60" s="182"/>
    </row>
    <row r="61" spans="1:13" ht="15.75">
      <c r="B61" s="928"/>
      <c r="C61" s="213" t="s">
        <v>431</v>
      </c>
      <c r="D61" s="245"/>
      <c r="E61" s="698"/>
      <c r="F61" s="699"/>
      <c r="G61" s="246"/>
      <c r="H61" s="247"/>
      <c r="I61" s="81"/>
      <c r="J61" s="127">
        <f t="shared" ref="J61:J68" si="23">(K61*8%)+K61</f>
        <v>0</v>
      </c>
      <c r="K61" s="740"/>
      <c r="L61" s="178"/>
      <c r="M61" s="184"/>
    </row>
    <row r="62" spans="1:13" ht="15.75">
      <c r="A62" s="53">
        <v>34</v>
      </c>
      <c r="B62" s="927" t="s">
        <v>432</v>
      </c>
      <c r="C62" s="138" t="s">
        <v>433</v>
      </c>
      <c r="D62" s="198" t="s">
        <v>434</v>
      </c>
      <c r="E62" s="660" t="s">
        <v>284</v>
      </c>
      <c r="F62" s="657"/>
      <c r="G62" s="174" t="s">
        <v>435</v>
      </c>
      <c r="H62" s="97" t="s">
        <v>142</v>
      </c>
      <c r="I62" s="98">
        <v>15</v>
      </c>
      <c r="J62" s="106">
        <f t="shared" si="23"/>
        <v>0</v>
      </c>
      <c r="K62" s="732"/>
      <c r="L62" s="169">
        <f t="shared" ref="L62:L63" si="24">K62/225</f>
        <v>0</v>
      </c>
      <c r="M62" s="100">
        <f>I62*K62</f>
        <v>0</v>
      </c>
    </row>
    <row r="63" spans="1:13" ht="15.75">
      <c r="B63" s="928"/>
      <c r="C63" s="213" t="s">
        <v>436</v>
      </c>
      <c r="D63" s="249"/>
      <c r="E63" s="652"/>
      <c r="F63" s="653"/>
      <c r="G63" s="189"/>
      <c r="H63" s="190"/>
      <c r="I63" s="191"/>
      <c r="J63" s="114">
        <f t="shared" si="23"/>
        <v>0</v>
      </c>
      <c r="K63" s="734"/>
      <c r="L63" s="212">
        <f t="shared" si="24"/>
        <v>0</v>
      </c>
      <c r="M63" s="115"/>
    </row>
    <row r="64" spans="1:13" ht="15.75">
      <c r="A64" s="53">
        <v>35</v>
      </c>
      <c r="B64" s="927" t="s">
        <v>437</v>
      </c>
      <c r="C64" s="250" t="s">
        <v>438</v>
      </c>
      <c r="D64" s="198" t="s">
        <v>439</v>
      </c>
      <c r="E64" s="665" t="s">
        <v>284</v>
      </c>
      <c r="F64" s="696"/>
      <c r="G64" s="242" t="s">
        <v>440</v>
      </c>
      <c r="H64" s="243" t="s">
        <v>142</v>
      </c>
      <c r="I64" s="98">
        <v>15</v>
      </c>
      <c r="J64" s="91">
        <f t="shared" si="23"/>
        <v>0</v>
      </c>
      <c r="K64" s="737"/>
      <c r="L64" s="181">
        <f t="shared" ref="L64:L65" si="25">K64/210</f>
        <v>0</v>
      </c>
      <c r="M64" s="100">
        <f>I64*K64</f>
        <v>0</v>
      </c>
    </row>
    <row r="65" spans="1:13" ht="15.75">
      <c r="B65" s="928"/>
      <c r="C65" s="134" t="s">
        <v>441</v>
      </c>
      <c r="D65" s="130"/>
      <c r="E65" s="698"/>
      <c r="F65" s="699"/>
      <c r="G65" s="189"/>
      <c r="H65" s="190"/>
      <c r="I65" s="191"/>
      <c r="J65" s="91">
        <f t="shared" si="23"/>
        <v>0</v>
      </c>
      <c r="K65" s="735"/>
      <c r="L65" s="192">
        <f t="shared" si="25"/>
        <v>0</v>
      </c>
      <c r="M65" s="115"/>
    </row>
    <row r="66" spans="1:13" ht="15.75">
      <c r="A66" s="53">
        <v>36</v>
      </c>
      <c r="B66" s="927" t="s">
        <v>442</v>
      </c>
      <c r="C66" s="250" t="s">
        <v>443</v>
      </c>
      <c r="D66" s="198" t="s">
        <v>444</v>
      </c>
      <c r="E66" s="665" t="s">
        <v>284</v>
      </c>
      <c r="F66" s="696"/>
      <c r="G66" s="248" t="s">
        <v>445</v>
      </c>
      <c r="H66" s="243" t="s">
        <v>142</v>
      </c>
      <c r="I66" s="98">
        <v>15</v>
      </c>
      <c r="J66" s="91">
        <f t="shared" si="23"/>
        <v>0</v>
      </c>
      <c r="K66" s="737"/>
      <c r="L66" s="181">
        <f t="shared" ref="L66:L67" si="26">K66/225</f>
        <v>0</v>
      </c>
      <c r="M66" s="100">
        <f>I66*K66</f>
        <v>0</v>
      </c>
    </row>
    <row r="67" spans="1:13" ht="15.75">
      <c r="B67" s="928"/>
      <c r="C67" s="134" t="s">
        <v>446</v>
      </c>
      <c r="D67" s="130"/>
      <c r="E67" s="698"/>
      <c r="F67" s="699"/>
      <c r="G67" s="189"/>
      <c r="H67" s="190"/>
      <c r="I67" s="191"/>
      <c r="J67" s="91">
        <f t="shared" si="23"/>
        <v>0</v>
      </c>
      <c r="K67" s="735"/>
      <c r="L67" s="192">
        <f t="shared" si="26"/>
        <v>0</v>
      </c>
      <c r="M67" s="115"/>
    </row>
    <row r="68" spans="1:13" ht="15.75">
      <c r="A68" s="53">
        <v>37</v>
      </c>
      <c r="B68" s="930" t="s">
        <v>447</v>
      </c>
      <c r="C68" s="251" t="s">
        <v>448</v>
      </c>
      <c r="D68" s="109" t="s">
        <v>449</v>
      </c>
      <c r="E68" s="686" t="s">
        <v>284</v>
      </c>
      <c r="F68" s="662"/>
      <c r="G68" s="186" t="s">
        <v>450</v>
      </c>
      <c r="H68" s="120" t="s">
        <v>142</v>
      </c>
      <c r="I68" s="121">
        <v>10</v>
      </c>
      <c r="J68" s="91">
        <f t="shared" si="23"/>
        <v>0</v>
      </c>
      <c r="K68" s="737"/>
      <c r="L68" s="181">
        <f t="shared" ref="L68:L69" si="27">K68/300</f>
        <v>0</v>
      </c>
      <c r="M68" s="123">
        <f>I68*K68</f>
        <v>0</v>
      </c>
    </row>
    <row r="69" spans="1:13" ht="15.75">
      <c r="B69" s="928"/>
      <c r="C69" s="252" t="s">
        <v>451</v>
      </c>
      <c r="D69" s="126"/>
      <c r="E69" s="700"/>
      <c r="F69" s="653"/>
      <c r="G69" s="189"/>
      <c r="H69" s="190"/>
      <c r="I69" s="191"/>
      <c r="J69" s="127"/>
      <c r="K69" s="736"/>
      <c r="L69" s="224">
        <f t="shared" si="27"/>
        <v>0</v>
      </c>
      <c r="M69" s="115"/>
    </row>
    <row r="70" spans="1:13" ht="15.75">
      <c r="A70" s="53">
        <v>38</v>
      </c>
      <c r="B70" s="930" t="s">
        <v>452</v>
      </c>
      <c r="C70" s="251" t="s">
        <v>453</v>
      </c>
      <c r="D70" s="109" t="s">
        <v>454</v>
      </c>
      <c r="E70" s="686" t="s">
        <v>284</v>
      </c>
      <c r="F70" s="662"/>
      <c r="G70" s="186" t="s">
        <v>455</v>
      </c>
      <c r="H70" s="120" t="s">
        <v>142</v>
      </c>
      <c r="I70" s="121">
        <v>10</v>
      </c>
      <c r="J70" s="91">
        <f>(K70*8%)+K70</f>
        <v>0</v>
      </c>
      <c r="K70" s="737"/>
      <c r="L70" s="181">
        <f t="shared" ref="L70:L71" si="28">K70/160</f>
        <v>0</v>
      </c>
      <c r="M70" s="123">
        <f>I70*K70</f>
        <v>0</v>
      </c>
    </row>
    <row r="71" spans="1:13" ht="15.75">
      <c r="B71" s="928"/>
      <c r="C71" s="252" t="s">
        <v>456</v>
      </c>
      <c r="D71" s="126"/>
      <c r="E71" s="700"/>
      <c r="F71" s="653"/>
      <c r="G71" s="189"/>
      <c r="H71" s="190"/>
      <c r="I71" s="191"/>
      <c r="J71" s="127"/>
      <c r="K71" s="736"/>
      <c r="L71" s="224">
        <f t="shared" si="28"/>
        <v>0</v>
      </c>
      <c r="M71" s="115"/>
    </row>
    <row r="72" spans="1:13" ht="15.75">
      <c r="A72" s="53">
        <v>39</v>
      </c>
      <c r="B72" s="85" t="s">
        <v>457</v>
      </c>
      <c r="C72" s="254" t="s">
        <v>458</v>
      </c>
      <c r="D72" s="78" t="s">
        <v>459</v>
      </c>
      <c r="E72" s="654" t="s">
        <v>284</v>
      </c>
      <c r="F72" s="655"/>
      <c r="G72" s="88" t="s">
        <v>460</v>
      </c>
      <c r="H72" s="89" t="s">
        <v>142</v>
      </c>
      <c r="I72" s="90">
        <v>10</v>
      </c>
      <c r="J72" s="127"/>
      <c r="K72" s="744"/>
      <c r="L72" s="218">
        <f>K72/48</f>
        <v>0</v>
      </c>
      <c r="M72" s="93">
        <f t="shared" ref="M72:M74" si="29">I72*K72</f>
        <v>0</v>
      </c>
    </row>
    <row r="73" spans="1:13" ht="15.75">
      <c r="A73" s="53">
        <v>40</v>
      </c>
      <c r="B73" s="85" t="s">
        <v>461</v>
      </c>
      <c r="C73" s="254" t="s">
        <v>462</v>
      </c>
      <c r="D73" s="255" t="s">
        <v>463</v>
      </c>
      <c r="E73" s="654" t="s">
        <v>284</v>
      </c>
      <c r="F73" s="655"/>
      <c r="G73" s="88" t="s">
        <v>464</v>
      </c>
      <c r="H73" s="89" t="s">
        <v>142</v>
      </c>
      <c r="I73" s="90">
        <v>10</v>
      </c>
      <c r="J73" s="127"/>
      <c r="K73" s="744"/>
      <c r="L73" s="218">
        <f>K73/72</f>
        <v>0</v>
      </c>
      <c r="M73" s="93">
        <f t="shared" si="29"/>
        <v>0</v>
      </c>
    </row>
    <row r="74" spans="1:13" ht="15.75">
      <c r="A74" s="53">
        <v>41</v>
      </c>
      <c r="B74" s="85" t="s">
        <v>465</v>
      </c>
      <c r="C74" s="254" t="s">
        <v>466</v>
      </c>
      <c r="D74" s="234" t="s">
        <v>467</v>
      </c>
      <c r="E74" s="654" t="s">
        <v>284</v>
      </c>
      <c r="F74" s="655"/>
      <c r="G74" s="88" t="s">
        <v>468</v>
      </c>
      <c r="H74" s="89" t="s">
        <v>142</v>
      </c>
      <c r="I74" s="90">
        <v>20</v>
      </c>
      <c r="J74" s="91">
        <f t="shared" ref="J74:J75" si="30">(K74*8%)+K74</f>
        <v>0</v>
      </c>
      <c r="K74" s="744"/>
      <c r="L74" s="218">
        <f>K74/96</f>
        <v>0</v>
      </c>
      <c r="M74" s="93">
        <f t="shared" si="29"/>
        <v>0</v>
      </c>
    </row>
    <row r="75" spans="1:13" ht="15.75">
      <c r="A75" s="53">
        <v>42</v>
      </c>
      <c r="B75" s="930" t="s">
        <v>469</v>
      </c>
      <c r="C75" s="932" t="s">
        <v>470</v>
      </c>
      <c r="D75" s="198" t="s">
        <v>471</v>
      </c>
      <c r="E75" s="663" t="s">
        <v>284</v>
      </c>
      <c r="F75" s="695"/>
      <c r="G75" s="256" t="s">
        <v>472</v>
      </c>
      <c r="H75" s="120" t="s">
        <v>142</v>
      </c>
      <c r="I75" s="257">
        <v>5</v>
      </c>
      <c r="J75" s="258">
        <f t="shared" si="30"/>
        <v>0</v>
      </c>
      <c r="K75" s="732"/>
      <c r="L75" s="259">
        <f t="shared" ref="L75:L76" si="31">K75/80</f>
        <v>0</v>
      </c>
      <c r="M75" s="260">
        <f>K75*I75</f>
        <v>0</v>
      </c>
    </row>
    <row r="76" spans="1:13" ht="15.75">
      <c r="B76" s="931"/>
      <c r="C76" s="933"/>
      <c r="D76" s="130"/>
      <c r="E76" s="697"/>
      <c r="F76" s="695"/>
      <c r="G76" s="261"/>
      <c r="H76" s="208"/>
      <c r="I76" s="209"/>
      <c r="J76" s="262"/>
      <c r="K76" s="733"/>
      <c r="L76" s="263">
        <f t="shared" si="31"/>
        <v>0</v>
      </c>
      <c r="M76" s="182"/>
    </row>
    <row r="77" spans="1:13" ht="15.75">
      <c r="B77" s="928"/>
      <c r="C77" s="213" t="s">
        <v>473</v>
      </c>
      <c r="D77" s="126"/>
      <c r="E77" s="698"/>
      <c r="F77" s="699"/>
      <c r="G77" s="246"/>
      <c r="H77" s="80"/>
      <c r="I77" s="81"/>
      <c r="J77" s="262">
        <f t="shared" ref="J77:J80" si="32">(K77*8%)+K77</f>
        <v>0</v>
      </c>
      <c r="K77" s="734"/>
      <c r="L77" s="264"/>
      <c r="M77" s="184"/>
    </row>
    <row r="78" spans="1:13" ht="15.75">
      <c r="A78" s="53">
        <v>43</v>
      </c>
      <c r="B78" s="927" t="s">
        <v>474</v>
      </c>
      <c r="C78" s="939" t="s">
        <v>475</v>
      </c>
      <c r="D78" s="179" t="s">
        <v>476</v>
      </c>
      <c r="E78" s="665" t="s">
        <v>284</v>
      </c>
      <c r="F78" s="696"/>
      <c r="G78" s="242" t="s">
        <v>477</v>
      </c>
      <c r="H78" s="97" t="s">
        <v>142</v>
      </c>
      <c r="I78" s="98">
        <v>50</v>
      </c>
      <c r="J78" s="91">
        <f t="shared" si="32"/>
        <v>0</v>
      </c>
      <c r="K78" s="735"/>
      <c r="L78" s="225">
        <f>K78/80</f>
        <v>0</v>
      </c>
      <c r="M78" s="133">
        <f>K78*I78</f>
        <v>0</v>
      </c>
    </row>
    <row r="79" spans="1:13" ht="15.75">
      <c r="B79" s="931"/>
      <c r="C79" s="933"/>
      <c r="D79" s="266"/>
      <c r="E79" s="697"/>
      <c r="F79" s="695"/>
      <c r="G79" s="261"/>
      <c r="H79" s="208"/>
      <c r="I79" s="209"/>
      <c r="J79" s="91">
        <f t="shared" si="32"/>
        <v>0</v>
      </c>
      <c r="K79" s="735"/>
      <c r="L79" s="192"/>
      <c r="M79" s="123"/>
    </row>
    <row r="80" spans="1:13" ht="15.75">
      <c r="B80" s="928"/>
      <c r="C80" s="213" t="s">
        <v>478</v>
      </c>
      <c r="D80" s="245"/>
      <c r="E80" s="698"/>
      <c r="F80" s="699"/>
      <c r="G80" s="246"/>
      <c r="H80" s="80"/>
      <c r="I80" s="81"/>
      <c r="J80" s="91">
        <f t="shared" si="32"/>
        <v>0</v>
      </c>
      <c r="K80" s="735"/>
      <c r="L80" s="183"/>
      <c r="M80" s="115"/>
    </row>
    <row r="81" spans="1:13" ht="15.75">
      <c r="A81" s="53">
        <v>44</v>
      </c>
      <c r="B81" s="116" t="s">
        <v>479</v>
      </c>
      <c r="C81" s="267" t="s">
        <v>480</v>
      </c>
      <c r="D81" s="179" t="s">
        <v>481</v>
      </c>
      <c r="E81" s="697" t="s">
        <v>284</v>
      </c>
      <c r="F81" s="701"/>
      <c r="G81" s="237" t="s">
        <v>482</v>
      </c>
      <c r="H81" s="120" t="s">
        <v>142</v>
      </c>
      <c r="I81" s="121">
        <v>30</v>
      </c>
      <c r="J81" s="91"/>
      <c r="K81" s="732"/>
      <c r="L81" s="181">
        <f>K81/96</f>
        <v>0</v>
      </c>
      <c r="M81" s="133">
        <f>K81*I81</f>
        <v>0</v>
      </c>
    </row>
    <row r="82" spans="1:13" ht="15.75">
      <c r="B82" s="112"/>
      <c r="C82" s="268" t="s">
        <v>483</v>
      </c>
      <c r="D82" s="266"/>
      <c r="E82" s="697"/>
      <c r="F82" s="701"/>
      <c r="G82" s="237"/>
      <c r="H82" s="120"/>
      <c r="I82" s="121"/>
      <c r="J82" s="91"/>
      <c r="K82" s="734"/>
      <c r="L82" s="188"/>
      <c r="M82" s="123"/>
    </row>
    <row r="83" spans="1:13" ht="15.75">
      <c r="A83" s="53">
        <v>45</v>
      </c>
      <c r="B83" s="76" t="s">
        <v>484</v>
      </c>
      <c r="C83" s="131" t="s">
        <v>485</v>
      </c>
      <c r="D83" s="185" t="s">
        <v>486</v>
      </c>
      <c r="E83" s="702" t="s">
        <v>284</v>
      </c>
      <c r="F83" s="696"/>
      <c r="G83" s="242" t="s">
        <v>487</v>
      </c>
      <c r="H83" s="243" t="s">
        <v>142</v>
      </c>
      <c r="I83" s="98">
        <v>20</v>
      </c>
      <c r="J83" s="91">
        <f t="shared" ref="J83:J85" si="33">(K83*8%)+K83</f>
        <v>0</v>
      </c>
      <c r="K83" s="732"/>
      <c r="L83" s="181">
        <f>K83/96</f>
        <v>0</v>
      </c>
      <c r="M83" s="100">
        <f>K83*I83</f>
        <v>0</v>
      </c>
    </row>
    <row r="84" spans="1:13" ht="15.75">
      <c r="B84" s="112"/>
      <c r="C84" s="134" t="s">
        <v>488</v>
      </c>
      <c r="D84" s="245"/>
      <c r="E84" s="698"/>
      <c r="F84" s="699"/>
      <c r="G84" s="246"/>
      <c r="H84" s="247"/>
      <c r="I84" s="81"/>
      <c r="J84" s="91">
        <f t="shared" si="33"/>
        <v>0</v>
      </c>
      <c r="K84" s="734"/>
      <c r="L84" s="194"/>
      <c r="M84" s="115"/>
    </row>
    <row r="85" spans="1:13" ht="36">
      <c r="A85" s="53">
        <v>46</v>
      </c>
      <c r="B85" s="76" t="s">
        <v>489</v>
      </c>
      <c r="C85" s="269" t="s">
        <v>490</v>
      </c>
      <c r="D85" s="230" t="s">
        <v>491</v>
      </c>
      <c r="E85" s="703" t="s">
        <v>284</v>
      </c>
      <c r="F85" s="704"/>
      <c r="G85" s="940" t="s">
        <v>492</v>
      </c>
      <c r="H85" s="270" t="s">
        <v>142</v>
      </c>
      <c r="I85" s="202">
        <v>15</v>
      </c>
      <c r="J85" s="91">
        <f t="shared" si="33"/>
        <v>0</v>
      </c>
      <c r="K85" s="745"/>
      <c r="L85" s="203">
        <f t="shared" ref="L85:L87" si="34">K85/60</f>
        <v>0</v>
      </c>
      <c r="M85" s="204">
        <f>I85*K85</f>
        <v>0</v>
      </c>
    </row>
    <row r="86" spans="1:13" ht="15.75">
      <c r="B86" s="236"/>
      <c r="C86" s="213" t="s">
        <v>493</v>
      </c>
      <c r="D86" s="185" t="s">
        <v>494</v>
      </c>
      <c r="E86" s="698"/>
      <c r="F86" s="699"/>
      <c r="G86" s="941"/>
      <c r="H86" s="271"/>
      <c r="I86" s="191"/>
      <c r="J86" s="91"/>
      <c r="K86" s="738"/>
      <c r="L86" s="272">
        <f t="shared" si="34"/>
        <v>0</v>
      </c>
      <c r="M86" s="184"/>
    </row>
    <row r="87" spans="1:13" ht="36">
      <c r="A87" s="53">
        <v>47</v>
      </c>
      <c r="B87" s="927" t="s">
        <v>495</v>
      </c>
      <c r="C87" s="265" t="s">
        <v>496</v>
      </c>
      <c r="D87" s="109" t="s">
        <v>497</v>
      </c>
      <c r="E87" s="702" t="s">
        <v>284</v>
      </c>
      <c r="F87" s="705"/>
      <c r="G87" s="242" t="s">
        <v>498</v>
      </c>
      <c r="H87" s="243" t="s">
        <v>142</v>
      </c>
      <c r="I87" s="98">
        <v>25</v>
      </c>
      <c r="J87" s="91">
        <f t="shared" ref="J87:J90" si="35">(K87*8%)+K87</f>
        <v>0</v>
      </c>
      <c r="K87" s="732"/>
      <c r="L87" s="225">
        <f t="shared" si="34"/>
        <v>0</v>
      </c>
      <c r="M87" s="100">
        <f>I87*K87</f>
        <v>0</v>
      </c>
    </row>
    <row r="88" spans="1:13" ht="15.75">
      <c r="B88" s="928"/>
      <c r="C88" s="213" t="s">
        <v>499</v>
      </c>
      <c r="D88" s="126"/>
      <c r="E88" s="697"/>
      <c r="F88" s="701"/>
      <c r="G88" s="256"/>
      <c r="H88" s="238"/>
      <c r="I88" s="121"/>
      <c r="J88" s="91">
        <f t="shared" si="35"/>
        <v>0</v>
      </c>
      <c r="K88" s="734"/>
      <c r="L88" s="188"/>
      <c r="M88" s="123"/>
    </row>
    <row r="89" spans="1:13" ht="36">
      <c r="A89" s="53">
        <v>48</v>
      </c>
      <c r="B89" s="927" t="s">
        <v>500</v>
      </c>
      <c r="C89" s="273" t="s">
        <v>501</v>
      </c>
      <c r="D89" s="274" t="s">
        <v>502</v>
      </c>
      <c r="E89" s="702" t="s">
        <v>284</v>
      </c>
      <c r="F89" s="705"/>
      <c r="G89" s="242" t="s">
        <v>503</v>
      </c>
      <c r="H89" s="243" t="s">
        <v>142</v>
      </c>
      <c r="I89" s="98">
        <v>35</v>
      </c>
      <c r="J89" s="91">
        <f t="shared" si="35"/>
        <v>0</v>
      </c>
      <c r="K89" s="735"/>
      <c r="L89" s="181">
        <f>K89/60</f>
        <v>0</v>
      </c>
      <c r="M89" s="100">
        <f>I89*K89</f>
        <v>0</v>
      </c>
    </row>
    <row r="90" spans="1:13" ht="15.75">
      <c r="B90" s="928"/>
      <c r="C90" s="213" t="s">
        <v>504</v>
      </c>
      <c r="D90" s="245"/>
      <c r="E90" s="698"/>
      <c r="F90" s="706"/>
      <c r="G90" s="246"/>
      <c r="H90" s="247"/>
      <c r="I90" s="81"/>
      <c r="J90" s="106">
        <f t="shared" si="35"/>
        <v>0</v>
      </c>
      <c r="K90" s="735"/>
      <c r="L90" s="183"/>
      <c r="M90" s="115"/>
    </row>
    <row r="91" spans="1:13" ht="36">
      <c r="A91" s="101">
        <v>49</v>
      </c>
      <c r="B91" s="927" t="s">
        <v>505</v>
      </c>
      <c r="C91" s="275" t="s">
        <v>506</v>
      </c>
      <c r="D91" s="109" t="s">
        <v>507</v>
      </c>
      <c r="E91" s="687" t="s">
        <v>284</v>
      </c>
      <c r="F91" s="707"/>
      <c r="G91" s="201" t="s">
        <v>508</v>
      </c>
      <c r="H91" s="76" t="s">
        <v>245</v>
      </c>
      <c r="I91" s="202">
        <v>30</v>
      </c>
      <c r="J91" s="91"/>
      <c r="K91" s="737"/>
      <c r="L91" s="181">
        <f>K91/64</f>
        <v>0</v>
      </c>
      <c r="M91" s="100">
        <f>I91*K91</f>
        <v>0</v>
      </c>
    </row>
    <row r="92" spans="1:13" ht="15.75">
      <c r="A92" s="111"/>
      <c r="B92" s="928"/>
      <c r="C92" s="276"/>
      <c r="D92" s="126"/>
      <c r="E92" s="708"/>
      <c r="F92" s="709"/>
      <c r="G92" s="177"/>
      <c r="H92" s="112"/>
      <c r="I92" s="277"/>
      <c r="J92" s="127"/>
      <c r="K92" s="735"/>
      <c r="L92" s="278"/>
      <c r="M92" s="279"/>
    </row>
    <row r="93" spans="1:13" ht="36.75">
      <c r="A93" s="101">
        <v>50</v>
      </c>
      <c r="B93" s="927" t="s">
        <v>509</v>
      </c>
      <c r="C93" s="280" t="s">
        <v>510</v>
      </c>
      <c r="D93" s="281" t="s">
        <v>486</v>
      </c>
      <c r="E93" s="703" t="s">
        <v>284</v>
      </c>
      <c r="F93" s="704"/>
      <c r="G93" s="242" t="s">
        <v>511</v>
      </c>
      <c r="H93" s="76" t="s">
        <v>142</v>
      </c>
      <c r="I93" s="202">
        <v>35</v>
      </c>
      <c r="J93" s="262">
        <f>(K93*8%)+K93</f>
        <v>0</v>
      </c>
      <c r="K93" s="732"/>
      <c r="L93" s="203">
        <f t="shared" ref="L93:L98" si="36">K93/96</f>
        <v>0</v>
      </c>
      <c r="M93" s="282">
        <f>K93*I93</f>
        <v>0</v>
      </c>
    </row>
    <row r="94" spans="1:13" ht="15.75">
      <c r="B94" s="928"/>
      <c r="C94" s="213" t="s">
        <v>512</v>
      </c>
      <c r="D94" s="130"/>
      <c r="E94" s="710"/>
      <c r="F94" s="711"/>
      <c r="G94" s="261"/>
      <c r="H94" s="238"/>
      <c r="I94" s="121"/>
      <c r="J94" s="262"/>
      <c r="K94" s="734"/>
      <c r="L94" s="272">
        <f t="shared" si="36"/>
        <v>0</v>
      </c>
      <c r="M94" s="283"/>
    </row>
    <row r="95" spans="1:13" ht="36.75">
      <c r="A95" s="101">
        <v>51</v>
      </c>
      <c r="B95" s="927" t="s">
        <v>513</v>
      </c>
      <c r="C95" s="284" t="s">
        <v>514</v>
      </c>
      <c r="D95" s="285" t="s">
        <v>486</v>
      </c>
      <c r="E95" s="712" t="s">
        <v>284</v>
      </c>
      <c r="F95" s="713"/>
      <c r="G95" s="242" t="s">
        <v>515</v>
      </c>
      <c r="H95" s="76" t="s">
        <v>142</v>
      </c>
      <c r="I95" s="202">
        <v>50</v>
      </c>
      <c r="J95" s="262">
        <f>(K95*8%)+K95</f>
        <v>0</v>
      </c>
      <c r="K95" s="733"/>
      <c r="L95" s="286">
        <f t="shared" si="36"/>
        <v>0</v>
      </c>
      <c r="M95" s="279">
        <f>K95*I95</f>
        <v>0</v>
      </c>
    </row>
    <row r="96" spans="1:13" ht="15.75">
      <c r="A96" s="111"/>
      <c r="B96" s="928"/>
      <c r="C96" s="252" t="s">
        <v>516</v>
      </c>
      <c r="D96" s="130"/>
      <c r="E96" s="714"/>
      <c r="F96" s="706"/>
      <c r="G96" s="261"/>
      <c r="H96" s="238"/>
      <c r="I96" s="121"/>
      <c r="J96" s="262"/>
      <c r="K96" s="734"/>
      <c r="L96" s="272">
        <f t="shared" si="36"/>
        <v>0</v>
      </c>
      <c r="M96" s="115"/>
    </row>
    <row r="97" spans="1:13" ht="36.75">
      <c r="A97" s="101">
        <v>52</v>
      </c>
      <c r="B97" s="927" t="s">
        <v>517</v>
      </c>
      <c r="C97" s="280" t="s">
        <v>518</v>
      </c>
      <c r="D97" s="285" t="s">
        <v>486</v>
      </c>
      <c r="E97" s="712" t="s">
        <v>284</v>
      </c>
      <c r="F97" s="713"/>
      <c r="G97" s="242" t="s">
        <v>519</v>
      </c>
      <c r="H97" s="76" t="s">
        <v>142</v>
      </c>
      <c r="I97" s="202">
        <v>45</v>
      </c>
      <c r="J97" s="262">
        <f>(K97*8%)+K97</f>
        <v>0</v>
      </c>
      <c r="K97" s="733"/>
      <c r="L97" s="286">
        <f t="shared" si="36"/>
        <v>0</v>
      </c>
      <c r="M97" s="279">
        <f>K97*I97</f>
        <v>0</v>
      </c>
    </row>
    <row r="98" spans="1:13" ht="15.75">
      <c r="A98" s="111"/>
      <c r="B98" s="928"/>
      <c r="C98" s="252" t="s">
        <v>520</v>
      </c>
      <c r="D98" s="130"/>
      <c r="E98" s="714"/>
      <c r="F98" s="706"/>
      <c r="G98" s="261"/>
      <c r="H98" s="238"/>
      <c r="I98" s="121"/>
      <c r="J98" s="262"/>
      <c r="K98" s="734"/>
      <c r="L98" s="272">
        <f t="shared" si="36"/>
        <v>0</v>
      </c>
      <c r="M98" s="115"/>
    </row>
    <row r="99" spans="1:13" ht="36.75">
      <c r="A99" s="101">
        <v>53</v>
      </c>
      <c r="B99" s="927" t="s">
        <v>521</v>
      </c>
      <c r="C99" s="280" t="s">
        <v>522</v>
      </c>
      <c r="D99" s="285" t="s">
        <v>523</v>
      </c>
      <c r="E99" s="712" t="s">
        <v>284</v>
      </c>
      <c r="F99" s="704"/>
      <c r="G99" s="242" t="s">
        <v>524</v>
      </c>
      <c r="H99" s="76" t="s">
        <v>142</v>
      </c>
      <c r="I99" s="202">
        <v>30</v>
      </c>
      <c r="J99" s="262">
        <f>(K99*8%)+K99</f>
        <v>0</v>
      </c>
      <c r="K99" s="733"/>
      <c r="L99" s="286">
        <f>K99/60</f>
        <v>0</v>
      </c>
      <c r="M99" s="287">
        <f>K99*I99</f>
        <v>0</v>
      </c>
    </row>
    <row r="100" spans="1:13" ht="15.75">
      <c r="A100" s="111"/>
      <c r="B100" s="928"/>
      <c r="C100" s="252" t="s">
        <v>525</v>
      </c>
      <c r="D100" s="126"/>
      <c r="E100" s="714"/>
      <c r="F100" s="699"/>
      <c r="G100" s="261"/>
      <c r="H100" s="238"/>
      <c r="I100" s="121"/>
      <c r="J100" s="262"/>
      <c r="K100" s="734"/>
      <c r="L100" s="288"/>
      <c r="M100" s="184"/>
    </row>
    <row r="101" spans="1:13" ht="15.75">
      <c r="A101" s="101">
        <v>54</v>
      </c>
      <c r="B101" s="76" t="s">
        <v>526</v>
      </c>
      <c r="C101" s="289" t="s">
        <v>527</v>
      </c>
      <c r="D101" s="109" t="s">
        <v>528</v>
      </c>
      <c r="E101" s="715" t="s">
        <v>284</v>
      </c>
      <c r="F101" s="685"/>
      <c r="G101" s="168" t="s">
        <v>529</v>
      </c>
      <c r="H101" s="97" t="s">
        <v>142</v>
      </c>
      <c r="I101" s="98">
        <v>15</v>
      </c>
      <c r="J101" s="91"/>
      <c r="K101" s="737"/>
      <c r="L101" s="181">
        <f>K101/100</f>
        <v>0</v>
      </c>
      <c r="M101" s="133">
        <f>I101*K101</f>
        <v>0</v>
      </c>
    </row>
    <row r="102" spans="1:13" ht="15.75">
      <c r="A102" s="111"/>
      <c r="B102" s="112"/>
      <c r="C102" s="252" t="s">
        <v>530</v>
      </c>
      <c r="D102" s="126"/>
      <c r="E102" s="700"/>
      <c r="F102" s="684"/>
      <c r="G102" s="79"/>
      <c r="H102" s="80"/>
      <c r="I102" s="81"/>
      <c r="J102" s="290"/>
      <c r="K102" s="736"/>
      <c r="L102" s="183"/>
      <c r="M102" s="115"/>
    </row>
    <row r="103" spans="1:13" ht="15.75">
      <c r="A103" s="101">
        <v>55</v>
      </c>
      <c r="B103" s="76" t="s">
        <v>531</v>
      </c>
      <c r="C103" s="131" t="s">
        <v>532</v>
      </c>
      <c r="D103" s="185" t="s">
        <v>533</v>
      </c>
      <c r="E103" s="665" t="s">
        <v>284</v>
      </c>
      <c r="F103" s="685"/>
      <c r="G103" s="96" t="s">
        <v>534</v>
      </c>
      <c r="H103" s="97" t="s">
        <v>142</v>
      </c>
      <c r="I103" s="98">
        <v>16</v>
      </c>
      <c r="J103" s="91">
        <f t="shared" ref="J103:J112" si="37">(K103*8%)+K103</f>
        <v>0</v>
      </c>
      <c r="K103" s="735"/>
      <c r="L103" s="181">
        <f>K103/600</f>
        <v>0</v>
      </c>
      <c r="M103" s="291">
        <f>K103*I103</f>
        <v>0</v>
      </c>
    </row>
    <row r="104" spans="1:13" ht="15.75">
      <c r="A104" s="111"/>
      <c r="B104" s="233"/>
      <c r="C104" s="239" t="s">
        <v>535</v>
      </c>
      <c r="D104" s="292"/>
      <c r="E104" s="664"/>
      <c r="F104" s="662"/>
      <c r="G104" s="119"/>
      <c r="H104" s="120"/>
      <c r="I104" s="121"/>
      <c r="J104" s="91">
        <f t="shared" si="37"/>
        <v>0</v>
      </c>
      <c r="K104" s="735"/>
      <c r="L104" s="188" t="s">
        <v>536</v>
      </c>
      <c r="M104" s="155"/>
    </row>
    <row r="105" spans="1:13" ht="15.75">
      <c r="A105" s="101">
        <v>56</v>
      </c>
      <c r="B105" s="76" t="s">
        <v>537</v>
      </c>
      <c r="C105" s="132" t="s">
        <v>538</v>
      </c>
      <c r="D105" s="198" t="s">
        <v>539</v>
      </c>
      <c r="E105" s="665" t="s">
        <v>284</v>
      </c>
      <c r="F105" s="696"/>
      <c r="G105" s="96" t="s">
        <v>540</v>
      </c>
      <c r="H105" s="97" t="s">
        <v>142</v>
      </c>
      <c r="I105" s="98">
        <v>40</v>
      </c>
      <c r="J105" s="91">
        <f t="shared" si="37"/>
        <v>0</v>
      </c>
      <c r="K105" s="735"/>
      <c r="L105" s="181">
        <f>K105/140</f>
        <v>0</v>
      </c>
      <c r="M105" s="133">
        <f>I105*K105</f>
        <v>0</v>
      </c>
    </row>
    <row r="106" spans="1:13" ht="15.75">
      <c r="A106" s="111"/>
      <c r="B106" s="112"/>
      <c r="C106" s="134" t="s">
        <v>541</v>
      </c>
      <c r="D106" s="249"/>
      <c r="E106" s="664"/>
      <c r="F106" s="716"/>
      <c r="G106" s="189"/>
      <c r="H106" s="190"/>
      <c r="I106" s="191"/>
      <c r="J106" s="91">
        <f t="shared" si="37"/>
        <v>0</v>
      </c>
      <c r="K106" s="735"/>
      <c r="L106" s="224"/>
      <c r="M106" s="293"/>
    </row>
    <row r="107" spans="1:13" ht="15.75">
      <c r="A107" s="101">
        <v>57</v>
      </c>
      <c r="B107" s="116" t="s">
        <v>542</v>
      </c>
      <c r="C107" s="135" t="s">
        <v>543</v>
      </c>
      <c r="D107" s="185" t="s">
        <v>544</v>
      </c>
      <c r="E107" s="663" t="s">
        <v>284</v>
      </c>
      <c r="F107" s="662"/>
      <c r="G107" s="119" t="s">
        <v>545</v>
      </c>
      <c r="H107" s="120" t="s">
        <v>142</v>
      </c>
      <c r="I107" s="294">
        <v>15</v>
      </c>
      <c r="J107" s="91">
        <f t="shared" si="37"/>
        <v>0</v>
      </c>
      <c r="K107" s="737"/>
      <c r="L107" s="188">
        <f>K107/192</f>
        <v>0</v>
      </c>
      <c r="M107" s="295">
        <f>I107*K107</f>
        <v>0</v>
      </c>
    </row>
    <row r="108" spans="1:13" ht="15.75">
      <c r="A108" s="111"/>
      <c r="B108" s="116"/>
      <c r="C108" s="239" t="s">
        <v>546</v>
      </c>
      <c r="D108" s="185"/>
      <c r="E108" s="663"/>
      <c r="F108" s="717"/>
      <c r="G108" s="189"/>
      <c r="H108" s="208"/>
      <c r="I108" s="209"/>
      <c r="J108" s="91">
        <f t="shared" si="37"/>
        <v>0</v>
      </c>
      <c r="K108" s="736"/>
      <c r="L108" s="224"/>
      <c r="M108" s="293"/>
    </row>
    <row r="109" spans="1:13" ht="15.75">
      <c r="A109" s="101">
        <v>58</v>
      </c>
      <c r="B109" s="76" t="s">
        <v>547</v>
      </c>
      <c r="C109" s="131" t="s">
        <v>548</v>
      </c>
      <c r="D109" s="198" t="s">
        <v>549</v>
      </c>
      <c r="E109" s="665" t="s">
        <v>284</v>
      </c>
      <c r="F109" s="657"/>
      <c r="G109" s="96" t="s">
        <v>550</v>
      </c>
      <c r="H109" s="97" t="s">
        <v>142</v>
      </c>
      <c r="I109" s="98">
        <v>15</v>
      </c>
      <c r="J109" s="91">
        <f t="shared" si="37"/>
        <v>0</v>
      </c>
      <c r="K109" s="735"/>
      <c r="L109" s="181">
        <f>K109/16</f>
        <v>0</v>
      </c>
      <c r="M109" s="133">
        <f>I109*17.6*K109</f>
        <v>0</v>
      </c>
    </row>
    <row r="110" spans="1:13" ht="15.75">
      <c r="B110" s="112"/>
      <c r="C110" s="134" t="s">
        <v>551</v>
      </c>
      <c r="D110" s="78" t="s">
        <v>552</v>
      </c>
      <c r="E110" s="664"/>
      <c r="F110" s="653"/>
      <c r="G110" s="79"/>
      <c r="H110" s="80"/>
      <c r="I110" s="81"/>
      <c r="J110" s="91">
        <f t="shared" si="37"/>
        <v>0</v>
      </c>
      <c r="K110" s="735"/>
      <c r="L110" s="183"/>
      <c r="M110" s="293"/>
    </row>
    <row r="111" spans="1:13" ht="15.75">
      <c r="A111" s="53">
        <v>59</v>
      </c>
      <c r="B111" s="76" t="s">
        <v>553</v>
      </c>
      <c r="C111" s="131" t="s">
        <v>554</v>
      </c>
      <c r="D111" s="185" t="s">
        <v>555</v>
      </c>
      <c r="E111" s="665" t="s">
        <v>284</v>
      </c>
      <c r="F111" s="657"/>
      <c r="G111" s="96" t="s">
        <v>556</v>
      </c>
      <c r="H111" s="97" t="s">
        <v>142</v>
      </c>
      <c r="I111" s="98">
        <v>30</v>
      </c>
      <c r="J111" s="91">
        <f t="shared" si="37"/>
        <v>0</v>
      </c>
      <c r="K111" s="737"/>
      <c r="L111" s="181">
        <f>K111/128</f>
        <v>0</v>
      </c>
      <c r="M111" s="133">
        <f>I111*K111</f>
        <v>0</v>
      </c>
    </row>
    <row r="112" spans="1:13" ht="15.75">
      <c r="B112" s="112"/>
      <c r="C112" s="134" t="s">
        <v>557</v>
      </c>
      <c r="D112" s="126"/>
      <c r="E112" s="664"/>
      <c r="F112" s="653"/>
      <c r="G112" s="189"/>
      <c r="H112" s="190"/>
      <c r="I112" s="191"/>
      <c r="J112" s="91">
        <f t="shared" si="37"/>
        <v>0</v>
      </c>
      <c r="K112" s="736"/>
      <c r="L112" s="224"/>
      <c r="M112" s="293"/>
    </row>
    <row r="113" spans="1:13" ht="15.75">
      <c r="A113" s="53">
        <v>60</v>
      </c>
      <c r="B113" s="241" t="s">
        <v>558</v>
      </c>
      <c r="C113" s="94" t="s">
        <v>559</v>
      </c>
      <c r="D113" s="230" t="s">
        <v>560</v>
      </c>
      <c r="E113" s="660" t="s">
        <v>284</v>
      </c>
      <c r="F113" s="657"/>
      <c r="G113" s="168" t="s">
        <v>561</v>
      </c>
      <c r="H113" s="296" t="s">
        <v>142</v>
      </c>
      <c r="I113" s="228">
        <v>26</v>
      </c>
      <c r="J113" s="91"/>
      <c r="K113" s="732"/>
      <c r="L113" s="169">
        <f>K113/133</f>
        <v>0</v>
      </c>
      <c r="M113" s="133">
        <f>I113*K113</f>
        <v>0</v>
      </c>
    </row>
    <row r="114" spans="1:13" ht="15.75">
      <c r="B114" s="112"/>
      <c r="C114" s="176" t="s">
        <v>562</v>
      </c>
      <c r="D114" s="297"/>
      <c r="E114" s="652"/>
      <c r="F114" s="653"/>
      <c r="G114" s="79"/>
      <c r="H114" s="80"/>
      <c r="I114" s="81"/>
      <c r="J114" s="127"/>
      <c r="K114" s="734"/>
      <c r="L114" s="178"/>
      <c r="M114" s="115"/>
    </row>
    <row r="115" spans="1:13" ht="15.75">
      <c r="A115" s="53">
        <v>61</v>
      </c>
      <c r="B115" s="241" t="s">
        <v>563</v>
      </c>
      <c r="C115" s="94" t="s">
        <v>564</v>
      </c>
      <c r="D115" s="230" t="s">
        <v>565</v>
      </c>
      <c r="E115" s="660" t="s">
        <v>284</v>
      </c>
      <c r="F115" s="657"/>
      <c r="G115" s="168" t="s">
        <v>566</v>
      </c>
      <c r="H115" s="296" t="s">
        <v>142</v>
      </c>
      <c r="I115" s="228">
        <v>32</v>
      </c>
      <c r="J115" s="91"/>
      <c r="K115" s="732"/>
      <c r="L115" s="169">
        <f>K115/80</f>
        <v>0</v>
      </c>
      <c r="M115" s="133">
        <f>I115*K115</f>
        <v>0</v>
      </c>
    </row>
    <row r="116" spans="1:13" ht="15.75">
      <c r="B116" s="116"/>
      <c r="C116" s="170" t="s">
        <v>567</v>
      </c>
      <c r="D116" s="281"/>
      <c r="E116" s="669"/>
      <c r="F116" s="662"/>
      <c r="G116" s="119"/>
      <c r="H116" s="120"/>
      <c r="I116" s="121"/>
      <c r="J116" s="106"/>
      <c r="K116" s="733"/>
      <c r="L116" s="200"/>
      <c r="M116" s="123"/>
    </row>
    <row r="117" spans="1:13" ht="15.75">
      <c r="B117" s="241" t="s">
        <v>568</v>
      </c>
      <c r="C117" s="132" t="s">
        <v>569</v>
      </c>
      <c r="D117" s="230" t="s">
        <v>570</v>
      </c>
      <c r="E117" s="660" t="s">
        <v>284</v>
      </c>
      <c r="F117" s="657"/>
      <c r="G117" s="96" t="s">
        <v>571</v>
      </c>
      <c r="H117" s="97" t="s">
        <v>142</v>
      </c>
      <c r="I117" s="98">
        <v>214</v>
      </c>
      <c r="J117" s="106">
        <f>(K117*8%)+K117</f>
        <v>0</v>
      </c>
      <c r="K117" s="732"/>
      <c r="L117" s="169">
        <f t="shared" ref="L117:L118" si="38">K117/72</f>
        <v>0</v>
      </c>
      <c r="M117" s="100">
        <f>I117*K117</f>
        <v>0</v>
      </c>
    </row>
    <row r="118" spans="1:13" ht="15.75">
      <c r="B118" s="116"/>
      <c r="C118" s="117" t="s">
        <v>572</v>
      </c>
      <c r="D118" s="130"/>
      <c r="E118" s="669"/>
      <c r="F118" s="662"/>
      <c r="G118" s="119" t="s">
        <v>573</v>
      </c>
      <c r="H118" s="120"/>
      <c r="I118" s="121"/>
      <c r="J118" s="140"/>
      <c r="K118" s="733"/>
      <c r="L118" s="171">
        <f t="shared" si="38"/>
        <v>0</v>
      </c>
      <c r="M118" s="123"/>
    </row>
    <row r="119" spans="1:13" ht="15.75">
      <c r="A119" s="53">
        <v>62</v>
      </c>
      <c r="B119" s="116"/>
      <c r="C119" s="117"/>
      <c r="D119" s="130"/>
      <c r="E119" s="669"/>
      <c r="F119" s="662"/>
      <c r="G119" s="199" t="s">
        <v>574</v>
      </c>
      <c r="H119" s="120"/>
      <c r="I119" s="121"/>
      <c r="J119" s="140"/>
      <c r="K119" s="733"/>
      <c r="L119" s="171"/>
      <c r="M119" s="123"/>
    </row>
    <row r="120" spans="1:13" ht="15.75">
      <c r="A120" s="53">
        <v>63</v>
      </c>
      <c r="B120" s="253"/>
      <c r="C120" s="153"/>
      <c r="D120" s="298"/>
      <c r="E120" s="669"/>
      <c r="F120" s="662"/>
      <c r="G120" s="199" t="s">
        <v>575</v>
      </c>
      <c r="H120" s="120"/>
      <c r="I120" s="121"/>
      <c r="J120" s="140"/>
      <c r="K120" s="733"/>
      <c r="L120" s="171"/>
      <c r="M120" s="123"/>
    </row>
    <row r="121" spans="1:13" ht="15.75">
      <c r="A121" s="53">
        <v>64</v>
      </c>
      <c r="B121" s="253"/>
      <c r="C121" s="153"/>
      <c r="D121" s="298"/>
      <c r="E121" s="669"/>
      <c r="F121" s="662"/>
      <c r="G121" s="199" t="s">
        <v>576</v>
      </c>
      <c r="H121" s="120"/>
      <c r="I121" s="121"/>
      <c r="J121" s="140"/>
      <c r="K121" s="733"/>
      <c r="L121" s="200"/>
      <c r="M121" s="123"/>
    </row>
    <row r="122" spans="1:13" ht="15.75">
      <c r="A122" s="53">
        <v>65</v>
      </c>
      <c r="B122" s="253"/>
      <c r="C122" s="153"/>
      <c r="D122" s="298"/>
      <c r="E122" s="669"/>
      <c r="F122" s="662"/>
      <c r="G122" s="199" t="s">
        <v>577</v>
      </c>
      <c r="H122" s="120"/>
      <c r="I122" s="121"/>
      <c r="J122" s="140"/>
      <c r="K122" s="733"/>
      <c r="L122" s="200"/>
      <c r="M122" s="123"/>
    </row>
    <row r="123" spans="1:13" ht="15.75">
      <c r="B123" s="299"/>
      <c r="C123" s="213"/>
      <c r="D123" s="249"/>
      <c r="E123" s="652"/>
      <c r="F123" s="653"/>
      <c r="G123" s="214" t="s">
        <v>573</v>
      </c>
      <c r="H123" s="80"/>
      <c r="I123" s="81"/>
      <c r="J123" s="114"/>
      <c r="K123" s="734"/>
      <c r="L123" s="178"/>
      <c r="M123" s="115"/>
    </row>
    <row r="124" spans="1:13" ht="15.75">
      <c r="A124" s="53">
        <v>66</v>
      </c>
      <c r="B124" s="76" t="s">
        <v>578</v>
      </c>
      <c r="C124" s="132" t="s">
        <v>579</v>
      </c>
      <c r="D124" s="235" t="s">
        <v>580</v>
      </c>
      <c r="E124" s="665" t="s">
        <v>284</v>
      </c>
      <c r="F124" s="718"/>
      <c r="G124" s="96" t="s">
        <v>581</v>
      </c>
      <c r="H124" s="97"/>
      <c r="I124" s="98"/>
      <c r="J124" s="91">
        <f t="shared" ref="J124:J125" si="39">(K124*8%)+K124</f>
        <v>0</v>
      </c>
      <c r="K124" s="674"/>
      <c r="L124" s="156"/>
      <c r="M124" s="100"/>
    </row>
    <row r="125" spans="1:13" ht="15.75">
      <c r="B125" s="116"/>
      <c r="C125" s="239" t="s">
        <v>582</v>
      </c>
      <c r="D125" s="130"/>
      <c r="E125" s="663"/>
      <c r="F125" s="719"/>
      <c r="G125" s="119" t="s">
        <v>583</v>
      </c>
      <c r="H125" s="120" t="s">
        <v>142</v>
      </c>
      <c r="I125" s="121">
        <v>25</v>
      </c>
      <c r="J125" s="91">
        <f t="shared" si="39"/>
        <v>0</v>
      </c>
      <c r="K125" s="678"/>
      <c r="L125" s="159">
        <f t="shared" ref="L125:L127" si="40">K125/144</f>
        <v>0</v>
      </c>
      <c r="M125" s="123">
        <f>I125*K125</f>
        <v>0</v>
      </c>
    </row>
    <row r="126" spans="1:13" ht="15.75">
      <c r="B126" s="116"/>
      <c r="C126" s="136"/>
      <c r="D126" s="130"/>
      <c r="E126" s="663"/>
      <c r="F126" s="719"/>
      <c r="G126" s="207"/>
      <c r="H126" s="208"/>
      <c r="I126" s="209"/>
      <c r="J126" s="91"/>
      <c r="K126" s="746"/>
      <c r="L126" s="300">
        <f t="shared" si="40"/>
        <v>0</v>
      </c>
      <c r="M126" s="123"/>
    </row>
    <row r="127" spans="1:13" ht="15.75">
      <c r="B127" s="116"/>
      <c r="C127" s="239" t="s">
        <v>584</v>
      </c>
      <c r="D127" s="229" t="s">
        <v>585</v>
      </c>
      <c r="E127" s="667" t="s">
        <v>284</v>
      </c>
      <c r="F127" s="719"/>
      <c r="G127" s="119" t="s">
        <v>586</v>
      </c>
      <c r="H127" s="120" t="s">
        <v>142</v>
      </c>
      <c r="I127" s="121">
        <v>40</v>
      </c>
      <c r="J127" s="106">
        <f t="shared" ref="J127:J128" si="41">(K127*8%)+K127</f>
        <v>0</v>
      </c>
      <c r="K127" s="680"/>
      <c r="L127" s="301">
        <f t="shared" si="40"/>
        <v>0</v>
      </c>
      <c r="M127" s="123">
        <f t="shared" ref="M127:M128" si="42">I127*K127</f>
        <v>0</v>
      </c>
    </row>
    <row r="128" spans="1:13" ht="24">
      <c r="B128" s="76" t="s">
        <v>587</v>
      </c>
      <c r="C128" s="934" t="s">
        <v>588</v>
      </c>
      <c r="D128" s="302" t="s">
        <v>589</v>
      </c>
      <c r="E128" s="660" t="s">
        <v>284</v>
      </c>
      <c r="F128" s="682"/>
      <c r="G128" s="303" t="s">
        <v>590</v>
      </c>
      <c r="H128" s="97" t="s">
        <v>245</v>
      </c>
      <c r="I128" s="98">
        <v>294</v>
      </c>
      <c r="J128" s="106">
        <f t="shared" si="41"/>
        <v>0</v>
      </c>
      <c r="K128" s="747"/>
      <c r="L128" s="169">
        <f t="shared" ref="L128:L138" si="43">K128/96</f>
        <v>0</v>
      </c>
      <c r="M128" s="304">
        <f t="shared" si="42"/>
        <v>0</v>
      </c>
    </row>
    <row r="129" spans="1:13" ht="15.75">
      <c r="A129" s="53">
        <v>67</v>
      </c>
      <c r="B129" s="305"/>
      <c r="C129" s="931"/>
      <c r="D129" s="306" t="s">
        <v>589</v>
      </c>
      <c r="E129" s="720" t="s">
        <v>284</v>
      </c>
      <c r="F129" s="721"/>
      <c r="G129" s="307" t="s">
        <v>591</v>
      </c>
      <c r="H129" s="308"/>
      <c r="I129" s="309"/>
      <c r="J129" s="310"/>
      <c r="K129" s="748"/>
      <c r="L129" s="200">
        <f t="shared" si="43"/>
        <v>0</v>
      </c>
      <c r="M129" s="311"/>
    </row>
    <row r="130" spans="1:13" ht="15.75">
      <c r="A130" s="53">
        <v>68</v>
      </c>
      <c r="B130" s="305"/>
      <c r="C130" s="931"/>
      <c r="D130" s="306" t="s">
        <v>589</v>
      </c>
      <c r="E130" s="720" t="s">
        <v>284</v>
      </c>
      <c r="F130" s="721"/>
      <c r="G130" s="307" t="s">
        <v>592</v>
      </c>
      <c r="H130" s="308"/>
      <c r="I130" s="309"/>
      <c r="J130" s="310">
        <f>(K130*8%)+K130</f>
        <v>0</v>
      </c>
      <c r="K130" s="748"/>
      <c r="L130" s="200">
        <f t="shared" si="43"/>
        <v>0</v>
      </c>
      <c r="M130" s="311"/>
    </row>
    <row r="131" spans="1:13" ht="15.75">
      <c r="A131" s="53">
        <v>69</v>
      </c>
      <c r="B131" s="305"/>
      <c r="C131" s="931"/>
      <c r="D131" s="306" t="s">
        <v>589</v>
      </c>
      <c r="E131" s="720" t="s">
        <v>284</v>
      </c>
      <c r="F131" s="721"/>
      <c r="G131" s="307" t="s">
        <v>593</v>
      </c>
      <c r="H131" s="308"/>
      <c r="I131" s="309"/>
      <c r="J131" s="310"/>
      <c r="K131" s="748"/>
      <c r="L131" s="200">
        <f t="shared" si="43"/>
        <v>0</v>
      </c>
      <c r="M131" s="312"/>
    </row>
    <row r="132" spans="1:13" ht="15.75">
      <c r="A132" s="53">
        <v>70</v>
      </c>
      <c r="B132" s="305"/>
      <c r="C132" s="931"/>
      <c r="D132" s="306" t="s">
        <v>589</v>
      </c>
      <c r="E132" s="720" t="s">
        <v>284</v>
      </c>
      <c r="F132" s="721"/>
      <c r="G132" s="307" t="s">
        <v>594</v>
      </c>
      <c r="H132" s="308"/>
      <c r="I132" s="309"/>
      <c r="J132" s="310"/>
      <c r="K132" s="748"/>
      <c r="L132" s="200">
        <f t="shared" si="43"/>
        <v>0</v>
      </c>
      <c r="M132" s="312"/>
    </row>
    <row r="133" spans="1:13" ht="15.75">
      <c r="A133" s="53">
        <v>71</v>
      </c>
      <c r="B133" s="305"/>
      <c r="C133" s="931"/>
      <c r="D133" s="306" t="s">
        <v>589</v>
      </c>
      <c r="E133" s="720" t="s">
        <v>284</v>
      </c>
      <c r="F133" s="721"/>
      <c r="G133" s="307" t="s">
        <v>595</v>
      </c>
      <c r="H133" s="308"/>
      <c r="I133" s="309"/>
      <c r="J133" s="310"/>
      <c r="K133" s="748"/>
      <c r="L133" s="200">
        <f t="shared" si="43"/>
        <v>0</v>
      </c>
      <c r="M133" s="312"/>
    </row>
    <row r="134" spans="1:13" ht="15.75">
      <c r="A134" s="53">
        <v>72</v>
      </c>
      <c r="B134" s="116"/>
      <c r="C134" s="931"/>
      <c r="D134" s="306" t="s">
        <v>589</v>
      </c>
      <c r="E134" s="720" t="s">
        <v>284</v>
      </c>
      <c r="F134" s="722"/>
      <c r="G134" s="307" t="s">
        <v>596</v>
      </c>
      <c r="H134" s="308"/>
      <c r="I134" s="309"/>
      <c r="J134" s="310"/>
      <c r="K134" s="748"/>
      <c r="L134" s="200">
        <f t="shared" si="43"/>
        <v>0</v>
      </c>
      <c r="M134" s="312"/>
    </row>
    <row r="135" spans="1:13" ht="15.75">
      <c r="A135" s="53">
        <v>73</v>
      </c>
      <c r="B135" s="116"/>
      <c r="C135" s="931"/>
      <c r="D135" s="306" t="s">
        <v>589</v>
      </c>
      <c r="E135" s="720" t="s">
        <v>284</v>
      </c>
      <c r="F135" s="722"/>
      <c r="G135" s="307" t="s">
        <v>597</v>
      </c>
      <c r="H135" s="308"/>
      <c r="I135" s="309"/>
      <c r="J135" s="310"/>
      <c r="K135" s="748"/>
      <c r="L135" s="200">
        <f t="shared" si="43"/>
        <v>0</v>
      </c>
      <c r="M135" s="312"/>
    </row>
    <row r="136" spans="1:13" ht="15.75">
      <c r="A136" s="53">
        <v>74</v>
      </c>
      <c r="B136" s="116"/>
      <c r="C136" s="931"/>
      <c r="D136" s="306" t="s">
        <v>589</v>
      </c>
      <c r="E136" s="720" t="s">
        <v>284</v>
      </c>
      <c r="F136" s="722"/>
      <c r="G136" s="307" t="s">
        <v>598</v>
      </c>
      <c r="H136" s="308"/>
      <c r="I136" s="309"/>
      <c r="J136" s="310"/>
      <c r="K136" s="748"/>
      <c r="L136" s="200">
        <f t="shared" si="43"/>
        <v>0</v>
      </c>
      <c r="M136" s="312"/>
    </row>
    <row r="137" spans="1:13" ht="15.75">
      <c r="A137" s="53">
        <v>75</v>
      </c>
      <c r="B137" s="116"/>
      <c r="C137" s="931"/>
      <c r="D137" s="306" t="s">
        <v>589</v>
      </c>
      <c r="E137" s="720" t="s">
        <v>284</v>
      </c>
      <c r="F137" s="722"/>
      <c r="G137" s="307" t="s">
        <v>599</v>
      </c>
      <c r="H137" s="308"/>
      <c r="I137" s="309"/>
      <c r="J137" s="310"/>
      <c r="K137" s="748"/>
      <c r="L137" s="200">
        <f t="shared" si="43"/>
        <v>0</v>
      </c>
      <c r="M137" s="312"/>
    </row>
    <row r="138" spans="1:13" ht="15.75">
      <c r="A138" s="53">
        <v>76</v>
      </c>
      <c r="B138" s="116"/>
      <c r="C138" s="931"/>
      <c r="D138" s="313" t="s">
        <v>589</v>
      </c>
      <c r="E138" s="723" t="s">
        <v>284</v>
      </c>
      <c r="F138" s="724"/>
      <c r="G138" s="314" t="s">
        <v>600</v>
      </c>
      <c r="H138" s="315"/>
      <c r="I138" s="316"/>
      <c r="J138" s="317"/>
      <c r="K138" s="749"/>
      <c r="L138" s="200">
        <f t="shared" si="43"/>
        <v>0</v>
      </c>
      <c r="M138" s="318"/>
    </row>
    <row r="139" spans="1:13" ht="15.75">
      <c r="A139" s="53">
        <v>77</v>
      </c>
      <c r="B139" s="112"/>
      <c r="C139" s="928"/>
      <c r="D139" s="319"/>
      <c r="E139" s="725"/>
      <c r="F139" s="726"/>
      <c r="G139" s="320" t="s">
        <v>601</v>
      </c>
      <c r="H139" s="80"/>
      <c r="I139" s="81"/>
      <c r="J139" s="114"/>
      <c r="K139" s="673"/>
      <c r="L139" s="178"/>
      <c r="M139" s="115"/>
    </row>
    <row r="140" spans="1:13" ht="15.75">
      <c r="A140" s="53">
        <v>78</v>
      </c>
      <c r="B140" s="76" t="s">
        <v>602</v>
      </c>
      <c r="C140" s="131" t="s">
        <v>603</v>
      </c>
      <c r="D140" s="321" t="s">
        <v>604</v>
      </c>
      <c r="E140" s="665" t="s">
        <v>284</v>
      </c>
      <c r="F140" s="727"/>
      <c r="G140" s="96" t="s">
        <v>605</v>
      </c>
      <c r="H140" s="97" t="s">
        <v>142</v>
      </c>
      <c r="I140" s="98">
        <v>2</v>
      </c>
      <c r="J140" s="91">
        <f t="shared" ref="J140:J145" si="44">(K140*8%)+K140</f>
        <v>0</v>
      </c>
      <c r="K140" s="674"/>
      <c r="L140" s="156">
        <f>K140/144</f>
        <v>0</v>
      </c>
      <c r="M140" s="100">
        <f>I140*K140</f>
        <v>0</v>
      </c>
    </row>
    <row r="141" spans="1:13" ht="15.75">
      <c r="B141" s="116"/>
      <c r="C141" s="135" t="s">
        <v>606</v>
      </c>
      <c r="D141" s="130"/>
      <c r="E141" s="663"/>
      <c r="F141" s="719"/>
      <c r="G141" s="119" t="s">
        <v>167</v>
      </c>
      <c r="H141" s="120"/>
      <c r="I141" s="121"/>
      <c r="J141" s="91">
        <f t="shared" si="44"/>
        <v>0</v>
      </c>
      <c r="K141" s="678"/>
      <c r="L141" s="159"/>
      <c r="M141" s="155"/>
    </row>
    <row r="142" spans="1:13" ht="15.75">
      <c r="B142" s="112"/>
      <c r="C142" s="134" t="s">
        <v>607</v>
      </c>
      <c r="D142" s="126"/>
      <c r="E142" s="664"/>
      <c r="F142" s="726"/>
      <c r="G142" s="79"/>
      <c r="H142" s="80"/>
      <c r="I142" s="81"/>
      <c r="J142" s="91">
        <f t="shared" si="44"/>
        <v>0</v>
      </c>
      <c r="K142" s="679"/>
      <c r="L142" s="158"/>
      <c r="M142" s="293"/>
    </row>
    <row r="143" spans="1:13" ht="15.75">
      <c r="A143" s="53">
        <v>79</v>
      </c>
      <c r="B143" s="76" t="s">
        <v>608</v>
      </c>
      <c r="C143" s="138" t="s">
        <v>609</v>
      </c>
      <c r="D143" s="321" t="s">
        <v>604</v>
      </c>
      <c r="E143" s="665" t="s">
        <v>284</v>
      </c>
      <c r="F143" s="718"/>
      <c r="G143" s="168" t="s">
        <v>610</v>
      </c>
      <c r="H143" s="97" t="s">
        <v>142</v>
      </c>
      <c r="I143" s="98">
        <v>3</v>
      </c>
      <c r="J143" s="91">
        <f t="shared" si="44"/>
        <v>0</v>
      </c>
      <c r="K143" s="674"/>
      <c r="L143" s="156">
        <f>K143/144</f>
        <v>0</v>
      </c>
      <c r="M143" s="100">
        <f>I143*K143</f>
        <v>0</v>
      </c>
    </row>
    <row r="144" spans="1:13" ht="15.75">
      <c r="B144" s="116"/>
      <c r="C144" s="239" t="s">
        <v>611</v>
      </c>
      <c r="D144" s="322"/>
      <c r="E144" s="728"/>
      <c r="F144" s="719"/>
      <c r="G144" s="323"/>
      <c r="H144" s="120"/>
      <c r="I144" s="121"/>
      <c r="J144" s="106">
        <f t="shared" si="44"/>
        <v>0</v>
      </c>
      <c r="K144" s="680"/>
      <c r="L144" s="301"/>
      <c r="M144" s="123"/>
    </row>
    <row r="145" spans="1:13" ht="15.75">
      <c r="A145" s="53">
        <v>80</v>
      </c>
      <c r="B145" s="76" t="s">
        <v>612</v>
      </c>
      <c r="C145" s="132" t="s">
        <v>613</v>
      </c>
      <c r="D145" s="324" t="s">
        <v>604</v>
      </c>
      <c r="E145" s="660" t="s">
        <v>284</v>
      </c>
      <c r="F145" s="718"/>
      <c r="G145" s="325" t="s">
        <v>614</v>
      </c>
      <c r="H145" s="97" t="s">
        <v>142</v>
      </c>
      <c r="I145" s="98">
        <v>10</v>
      </c>
      <c r="J145" s="106">
        <f t="shared" si="44"/>
        <v>0</v>
      </c>
      <c r="K145" s="676"/>
      <c r="L145" s="169">
        <f t="shared" ref="L145:L146" si="45">K145/144</f>
        <v>0</v>
      </c>
      <c r="M145" s="100">
        <f>I145*K145</f>
        <v>0</v>
      </c>
    </row>
    <row r="146" spans="1:13" ht="15.75">
      <c r="B146" s="116"/>
      <c r="C146" s="136"/>
      <c r="D146" s="130"/>
      <c r="E146" s="669"/>
      <c r="F146" s="719"/>
      <c r="G146" s="119" t="s">
        <v>167</v>
      </c>
      <c r="H146" s="71"/>
      <c r="I146" s="326"/>
      <c r="J146" s="140"/>
      <c r="K146" s="750"/>
      <c r="L146" s="171">
        <f t="shared" si="45"/>
        <v>0</v>
      </c>
      <c r="M146" s="123"/>
    </row>
    <row r="147" spans="1:13" ht="22.5" customHeight="1">
      <c r="A147" s="53">
        <v>81</v>
      </c>
      <c r="B147" s="241" t="s">
        <v>615</v>
      </c>
      <c r="C147" s="935" t="s">
        <v>616</v>
      </c>
      <c r="D147" s="324" t="s">
        <v>604</v>
      </c>
      <c r="E147" s="660" t="s">
        <v>284</v>
      </c>
      <c r="F147" s="718"/>
      <c r="G147" s="96" t="s">
        <v>617</v>
      </c>
      <c r="H147" s="97" t="s">
        <v>142</v>
      </c>
      <c r="I147" s="98">
        <v>60</v>
      </c>
      <c r="J147" s="106">
        <f>(K147*8%)+K147</f>
        <v>0</v>
      </c>
      <c r="K147" s="676"/>
      <c r="L147" s="169">
        <f t="shared" ref="L147:L148" si="46">K147/288</f>
        <v>0</v>
      </c>
      <c r="M147" s="100">
        <f>I147*K147</f>
        <v>0</v>
      </c>
    </row>
    <row r="148" spans="1:13" ht="15.75">
      <c r="B148" s="116"/>
      <c r="C148" s="928"/>
      <c r="D148" s="130"/>
      <c r="E148" s="669"/>
      <c r="F148" s="719"/>
      <c r="G148" s="180" t="s">
        <v>167</v>
      </c>
      <c r="H148" s="120"/>
      <c r="I148" s="121"/>
      <c r="J148" s="140"/>
      <c r="K148" s="750"/>
      <c r="L148" s="171">
        <f t="shared" si="46"/>
        <v>0</v>
      </c>
      <c r="M148" s="171" t="s">
        <v>618</v>
      </c>
    </row>
    <row r="149" spans="1:13" ht="15.75">
      <c r="A149" s="53">
        <v>82</v>
      </c>
      <c r="B149" s="241" t="s">
        <v>619</v>
      </c>
      <c r="C149" s="936" t="s">
        <v>620</v>
      </c>
      <c r="D149" s="198" t="s">
        <v>621</v>
      </c>
      <c r="E149" s="660" t="s">
        <v>284</v>
      </c>
      <c r="F149" s="718"/>
      <c r="G149" s="174" t="s">
        <v>622</v>
      </c>
      <c r="H149" s="97" t="s">
        <v>142</v>
      </c>
      <c r="I149" s="98">
        <v>40</v>
      </c>
      <c r="J149" s="106">
        <f>(K149*8%)+K149</f>
        <v>0</v>
      </c>
      <c r="K149" s="676"/>
      <c r="L149" s="169">
        <f t="shared" ref="L149:L150" si="47">K149/168</f>
        <v>0</v>
      </c>
      <c r="M149" s="133">
        <f>K149*I149</f>
        <v>0</v>
      </c>
    </row>
    <row r="150" spans="1:13" ht="15.75">
      <c r="B150" s="112"/>
      <c r="C150" s="928"/>
      <c r="D150" s="126"/>
      <c r="E150" s="652"/>
      <c r="F150" s="726"/>
      <c r="G150" s="177"/>
      <c r="H150" s="80"/>
      <c r="I150" s="81"/>
      <c r="J150" s="114"/>
      <c r="K150" s="751"/>
      <c r="L150" s="212">
        <f t="shared" si="47"/>
        <v>0</v>
      </c>
      <c r="M150" s="84"/>
    </row>
    <row r="151" spans="1:13" ht="15.75">
      <c r="A151" s="53">
        <v>83</v>
      </c>
      <c r="B151" s="116" t="s">
        <v>623</v>
      </c>
      <c r="C151" s="135" t="s">
        <v>624</v>
      </c>
      <c r="D151" s="324" t="s">
        <v>604</v>
      </c>
      <c r="E151" s="661" t="s">
        <v>284</v>
      </c>
      <c r="F151" s="719"/>
      <c r="G151" s="119" t="s">
        <v>625</v>
      </c>
      <c r="H151" s="120" t="s">
        <v>142</v>
      </c>
      <c r="I151" s="121">
        <v>10</v>
      </c>
      <c r="J151" s="82">
        <f t="shared" ref="J151:J154" si="48">(K151*8%)+K151</f>
        <v>0</v>
      </c>
      <c r="K151" s="677"/>
      <c r="L151" s="328">
        <f>K151/144</f>
        <v>0</v>
      </c>
      <c r="M151" s="123">
        <f>I151*K151</f>
        <v>0</v>
      </c>
    </row>
    <row r="152" spans="1:13" ht="15.75">
      <c r="B152" s="116"/>
      <c r="C152" s="135" t="s">
        <v>626</v>
      </c>
      <c r="D152" s="130"/>
      <c r="E152" s="663"/>
      <c r="F152" s="719"/>
      <c r="G152" s="119" t="s">
        <v>167</v>
      </c>
      <c r="H152" s="120"/>
      <c r="I152" s="121"/>
      <c r="J152" s="91">
        <f t="shared" si="48"/>
        <v>0</v>
      </c>
      <c r="K152" s="678"/>
      <c r="L152" s="159"/>
      <c r="M152" s="155"/>
    </row>
    <row r="153" spans="1:13" ht="15.75">
      <c r="B153" s="112"/>
      <c r="C153" s="329" t="s">
        <v>627</v>
      </c>
      <c r="D153" s="126"/>
      <c r="E153" s="664"/>
      <c r="F153" s="726"/>
      <c r="G153" s="79"/>
      <c r="H153" s="80"/>
      <c r="I153" s="81"/>
      <c r="J153" s="91">
        <f t="shared" si="48"/>
        <v>0</v>
      </c>
      <c r="K153" s="679"/>
      <c r="L153" s="158"/>
      <c r="M153" s="293"/>
    </row>
    <row r="154" spans="1:13" ht="15.75">
      <c r="A154" s="53">
        <v>84</v>
      </c>
      <c r="B154" s="76" t="s">
        <v>628</v>
      </c>
      <c r="C154" s="131" t="s">
        <v>629</v>
      </c>
      <c r="D154" s="324" t="s">
        <v>604</v>
      </c>
      <c r="E154" s="665" t="s">
        <v>284</v>
      </c>
      <c r="F154" s="718"/>
      <c r="G154" s="96" t="s">
        <v>630</v>
      </c>
      <c r="H154" s="97" t="s">
        <v>142</v>
      </c>
      <c r="I154" s="98">
        <v>12</v>
      </c>
      <c r="J154" s="91">
        <f t="shared" si="48"/>
        <v>0</v>
      </c>
      <c r="K154" s="674"/>
      <c r="L154" s="156">
        <f>K154/144</f>
        <v>0</v>
      </c>
      <c r="M154" s="100">
        <f>I154*K154</f>
        <v>0</v>
      </c>
    </row>
    <row r="155" spans="1:13" ht="15.75">
      <c r="B155" s="112"/>
      <c r="C155" s="157"/>
      <c r="D155" s="126"/>
      <c r="E155" s="664"/>
      <c r="F155" s="729"/>
      <c r="G155" s="79" t="s">
        <v>167</v>
      </c>
      <c r="H155" s="80"/>
      <c r="I155" s="81"/>
      <c r="J155" s="330"/>
      <c r="K155" s="679"/>
      <c r="L155" s="158"/>
      <c r="M155" s="293"/>
    </row>
    <row r="156" spans="1:13" ht="15.75">
      <c r="A156" s="53">
        <v>85</v>
      </c>
      <c r="B156" s="116" t="s">
        <v>631</v>
      </c>
      <c r="C156" s="135" t="s">
        <v>632</v>
      </c>
      <c r="D156" s="118" t="s">
        <v>400</v>
      </c>
      <c r="E156" s="663" t="s">
        <v>284</v>
      </c>
      <c r="F156" s="719"/>
      <c r="G156" s="119" t="s">
        <v>633</v>
      </c>
      <c r="H156" s="120" t="s">
        <v>142</v>
      </c>
      <c r="I156" s="121">
        <v>45</v>
      </c>
      <c r="J156" s="91">
        <f t="shared" ref="J156:J158" si="49">(K156*8%)+K156</f>
        <v>0</v>
      </c>
      <c r="K156" s="678"/>
      <c r="L156" s="159">
        <f>K156/166</f>
        <v>0</v>
      </c>
      <c r="M156" s="123">
        <f>I156*K156</f>
        <v>0</v>
      </c>
    </row>
    <row r="157" spans="1:13" ht="15.75">
      <c r="B157" s="116"/>
      <c r="C157" s="239" t="s">
        <v>634</v>
      </c>
      <c r="D157" s="130"/>
      <c r="E157" s="667"/>
      <c r="F157" s="719"/>
      <c r="G157" s="119" t="s">
        <v>167</v>
      </c>
      <c r="H157" s="120"/>
      <c r="I157" s="121"/>
      <c r="J157" s="106">
        <f t="shared" si="49"/>
        <v>0</v>
      </c>
      <c r="K157" s="680"/>
      <c r="L157" s="301"/>
      <c r="M157" s="123"/>
    </row>
    <row r="158" spans="1:13" ht="15.75">
      <c r="A158" s="53">
        <v>86</v>
      </c>
      <c r="B158" s="76" t="s">
        <v>635</v>
      </c>
      <c r="C158" s="132" t="s">
        <v>636</v>
      </c>
      <c r="D158" s="109" t="s">
        <v>637</v>
      </c>
      <c r="E158" s="660" t="s">
        <v>284</v>
      </c>
      <c r="F158" s="718"/>
      <c r="G158" s="96" t="s">
        <v>638</v>
      </c>
      <c r="H158" s="97" t="s">
        <v>142</v>
      </c>
      <c r="I158" s="98">
        <v>45</v>
      </c>
      <c r="J158" s="106">
        <f t="shared" si="49"/>
        <v>0</v>
      </c>
      <c r="K158" s="676"/>
      <c r="L158" s="169">
        <f t="shared" ref="L158:L159" si="50">K158/159.6</f>
        <v>0</v>
      </c>
      <c r="M158" s="100">
        <f>(I158*K158)</f>
        <v>0</v>
      </c>
    </row>
    <row r="159" spans="1:13" ht="15.75">
      <c r="B159" s="116"/>
      <c r="C159" s="239" t="s">
        <v>639</v>
      </c>
      <c r="D159" s="130"/>
      <c r="E159" s="669"/>
      <c r="F159" s="719"/>
      <c r="G159" s="119" t="s">
        <v>573</v>
      </c>
      <c r="H159" s="120"/>
      <c r="I159" s="121"/>
      <c r="J159" s="140"/>
      <c r="K159" s="750"/>
      <c r="L159" s="171">
        <f t="shared" si="50"/>
        <v>0</v>
      </c>
      <c r="M159" s="155"/>
    </row>
    <row r="160" spans="1:13" ht="36.75">
      <c r="A160" s="53">
        <v>87</v>
      </c>
      <c r="B160" s="270" t="s">
        <v>640</v>
      </c>
      <c r="C160" s="331" t="s">
        <v>641</v>
      </c>
      <c r="D160" s="95" t="s">
        <v>642</v>
      </c>
      <c r="E160" s="730" t="s">
        <v>643</v>
      </c>
      <c r="F160" s="657"/>
      <c r="G160" s="96" t="s">
        <v>644</v>
      </c>
      <c r="H160" s="97" t="s">
        <v>142</v>
      </c>
      <c r="I160" s="98">
        <v>205</v>
      </c>
      <c r="J160" s="106">
        <f>(K160*8%)+K160</f>
        <v>0</v>
      </c>
      <c r="K160" s="676"/>
      <c r="L160" s="110">
        <f t="shared" ref="L160:L161" si="51">K160/100</f>
        <v>0</v>
      </c>
      <c r="M160" s="133">
        <f>I160*K160</f>
        <v>0</v>
      </c>
    </row>
    <row r="161" spans="1:13" ht="15.75">
      <c r="B161" s="332"/>
      <c r="C161" s="333"/>
      <c r="D161" s="334"/>
      <c r="E161" s="731"/>
      <c r="F161" s="653"/>
      <c r="G161" s="79" t="s">
        <v>645</v>
      </c>
      <c r="H161" s="80"/>
      <c r="I161" s="81"/>
      <c r="J161" s="114"/>
      <c r="K161" s="751"/>
      <c r="L161" s="335">
        <f t="shared" si="51"/>
        <v>0</v>
      </c>
      <c r="M161" s="84"/>
    </row>
    <row r="162" spans="1:13" ht="15.75">
      <c r="A162" s="53">
        <v>88</v>
      </c>
      <c r="B162" s="76" t="s">
        <v>646</v>
      </c>
      <c r="C162" s="132" t="s">
        <v>647</v>
      </c>
      <c r="D162" s="109" t="s">
        <v>648</v>
      </c>
      <c r="E162" s="665" t="s">
        <v>284</v>
      </c>
      <c r="F162" s="657"/>
      <c r="G162" s="96" t="s">
        <v>649</v>
      </c>
      <c r="H162" s="97" t="s">
        <v>142</v>
      </c>
      <c r="I162" s="98">
        <v>70</v>
      </c>
      <c r="J162" s="91">
        <f t="shared" ref="J162:J163" si="52">(K162*8%)+K162</f>
        <v>0</v>
      </c>
      <c r="K162" s="738"/>
      <c r="L162" s="156">
        <f>K162/1000</f>
        <v>0</v>
      </c>
      <c r="M162" s="100">
        <f>I162*K162</f>
        <v>0</v>
      </c>
    </row>
    <row r="163" spans="1:13" ht="15.75">
      <c r="B163" s="112"/>
      <c r="C163" s="157"/>
      <c r="D163" s="126"/>
      <c r="E163" s="664"/>
      <c r="F163" s="653"/>
      <c r="G163" s="79" t="s">
        <v>167</v>
      </c>
      <c r="H163" s="80"/>
      <c r="I163" s="81"/>
      <c r="J163" s="91">
        <f t="shared" si="52"/>
        <v>0</v>
      </c>
      <c r="K163" s="740"/>
      <c r="L163" s="158"/>
      <c r="M163" s="115"/>
    </row>
    <row r="164" spans="1:13" ht="23.25">
      <c r="B164" s="937" t="s">
        <v>284</v>
      </c>
      <c r="C164" s="915"/>
      <c r="D164" s="915"/>
      <c r="E164" s="915"/>
      <c r="F164" s="915"/>
      <c r="G164" s="915"/>
      <c r="H164" s="915"/>
      <c r="I164" s="916"/>
      <c r="K164" s="938">
        <f>SUM(M3:M163)</f>
        <v>0</v>
      </c>
      <c r="L164" s="915"/>
      <c r="M164" s="916"/>
    </row>
  </sheetData>
  <sheetProtection algorithmName="SHA-512" hashValue="TrKn8M14jpwlz03xwoWFFwkjrmDHmDMkIzwN2nc0DNGEtCyqubwuvZzUo2raRwYAVXswW6ksNS8EXT2nNxhCVw==" saltValue="0eZN5zLfFYiDIDKZTjSnaQ==" spinCount="100000" sheet="1" objects="1" scenarios="1" selectLockedCells="1"/>
  <mergeCells count="36">
    <mergeCell ref="C147:C148"/>
    <mergeCell ref="C149:C150"/>
    <mergeCell ref="B164:I164"/>
    <mergeCell ref="K164:M164"/>
    <mergeCell ref="B78:B80"/>
    <mergeCell ref="C78:C79"/>
    <mergeCell ref="G85:G86"/>
    <mergeCell ref="B87:B88"/>
    <mergeCell ref="B89:B90"/>
    <mergeCell ref="B91:B92"/>
    <mergeCell ref="B93:B94"/>
    <mergeCell ref="C75:C76"/>
    <mergeCell ref="B95:B96"/>
    <mergeCell ref="B97:B98"/>
    <mergeCell ref="B99:B100"/>
    <mergeCell ref="C128:C139"/>
    <mergeCell ref="B64:B65"/>
    <mergeCell ref="B66:B67"/>
    <mergeCell ref="B68:B69"/>
    <mergeCell ref="B70:B71"/>
    <mergeCell ref="B75:B77"/>
    <mergeCell ref="B44:B45"/>
    <mergeCell ref="B52:B53"/>
    <mergeCell ref="B56:B58"/>
    <mergeCell ref="B59:B61"/>
    <mergeCell ref="B62:B63"/>
    <mergeCell ref="B34:B35"/>
    <mergeCell ref="B36:B37"/>
    <mergeCell ref="B38:B39"/>
    <mergeCell ref="B40:B41"/>
    <mergeCell ref="B42:B43"/>
    <mergeCell ref="B2:M2"/>
    <mergeCell ref="B3:B4"/>
    <mergeCell ref="B21:B22"/>
    <mergeCell ref="B32:B33"/>
    <mergeCell ref="D32:D33"/>
  </mergeCells>
  <pageMargins left="0.25" right="0.25" top="0.25" bottom="0.25" header="0.25" footer="0.25"/>
  <pageSetup scale="5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M68"/>
  <sheetViews>
    <sheetView topLeftCell="A37" workbookViewId="0">
      <selection activeCell="K6" sqref="K6"/>
    </sheetView>
  </sheetViews>
  <sheetFormatPr defaultColWidth="14.42578125" defaultRowHeight="15" customHeight="1"/>
  <cols>
    <col min="1" max="1" width="3.5703125" customWidth="1"/>
    <col min="2" max="2" width="33.7109375" customWidth="1"/>
    <col min="3" max="3" width="64.85546875" customWidth="1"/>
    <col min="4" max="4" width="12.42578125" customWidth="1"/>
    <col min="5" max="5" width="12.85546875" customWidth="1"/>
    <col min="6" max="6" width="11.7109375" customWidth="1"/>
    <col min="7" max="7" width="35.5703125" customWidth="1"/>
    <col min="8" max="8" width="9.5703125" customWidth="1"/>
    <col min="9" max="9" width="9.42578125" customWidth="1"/>
    <col min="10" max="10" width="14.42578125" hidden="1"/>
    <col min="11" max="11" width="11" customWidth="1"/>
    <col min="12" max="12" width="11.28515625" customWidth="1"/>
    <col min="13" max="13" width="11.42578125" customWidth="1"/>
  </cols>
  <sheetData>
    <row r="1" spans="1:13">
      <c r="A1" s="60"/>
      <c r="B1" s="66" t="s">
        <v>93</v>
      </c>
      <c r="C1" s="67" t="s">
        <v>94</v>
      </c>
      <c r="D1" s="68" t="s">
        <v>95</v>
      </c>
      <c r="E1" s="336" t="s">
        <v>96</v>
      </c>
      <c r="F1" s="70" t="s">
        <v>97</v>
      </c>
      <c r="G1" s="71" t="s">
        <v>98</v>
      </c>
      <c r="H1" s="71" t="s">
        <v>99</v>
      </c>
      <c r="I1" s="72" t="s">
        <v>100</v>
      </c>
      <c r="J1" s="337" t="s">
        <v>101</v>
      </c>
      <c r="K1" s="338" t="s">
        <v>102</v>
      </c>
      <c r="L1" s="339" t="s">
        <v>103</v>
      </c>
      <c r="M1" s="71" t="s">
        <v>104</v>
      </c>
    </row>
    <row r="2" spans="1:13">
      <c r="A2" s="57"/>
      <c r="B2" s="914" t="s">
        <v>650</v>
      </c>
      <c r="C2" s="915"/>
      <c r="D2" s="915"/>
      <c r="E2" s="915"/>
      <c r="F2" s="915"/>
      <c r="G2" s="915"/>
      <c r="H2" s="915"/>
      <c r="I2" s="915"/>
      <c r="J2" s="915"/>
      <c r="K2" s="915"/>
      <c r="L2" s="915"/>
      <c r="M2" s="916"/>
    </row>
    <row r="3" spans="1:13">
      <c r="A3" s="57">
        <v>1</v>
      </c>
      <c r="B3" s="927" t="s">
        <v>651</v>
      </c>
      <c r="C3" s="340" t="s">
        <v>652</v>
      </c>
      <c r="D3" s="95" t="s">
        <v>653</v>
      </c>
      <c r="E3" s="942"/>
      <c r="F3" s="657"/>
      <c r="G3" s="96" t="s">
        <v>654</v>
      </c>
      <c r="H3" s="97" t="s">
        <v>655</v>
      </c>
      <c r="I3" s="98">
        <v>3580</v>
      </c>
      <c r="J3" s="91">
        <f t="shared" ref="J3:J8" si="0">(K3*8%)+K3</f>
        <v>0</v>
      </c>
      <c r="K3" s="674"/>
      <c r="L3" s="181">
        <f>K3/60</f>
        <v>0</v>
      </c>
      <c r="M3" s="100">
        <f>I3*L3</f>
        <v>0</v>
      </c>
    </row>
    <row r="4" spans="1:13">
      <c r="A4" s="57"/>
      <c r="B4" s="928"/>
      <c r="C4" s="341" t="s">
        <v>656</v>
      </c>
      <c r="D4" s="342"/>
      <c r="E4" s="943"/>
      <c r="F4" s="653"/>
      <c r="G4" s="180" t="s">
        <v>601</v>
      </c>
      <c r="H4" s="80"/>
      <c r="I4" s="81"/>
      <c r="J4" s="91">
        <f t="shared" si="0"/>
        <v>0</v>
      </c>
      <c r="K4" s="679"/>
      <c r="L4" s="183" t="s">
        <v>198</v>
      </c>
      <c r="M4" s="343" t="s">
        <v>657</v>
      </c>
    </row>
    <row r="5" spans="1:13">
      <c r="A5" s="57">
        <v>2</v>
      </c>
      <c r="B5" s="76" t="s">
        <v>658</v>
      </c>
      <c r="C5" s="340" t="s">
        <v>659</v>
      </c>
      <c r="D5" s="109" t="s">
        <v>216</v>
      </c>
      <c r="E5" s="752"/>
      <c r="F5" s="657"/>
      <c r="G5" s="96" t="s">
        <v>660</v>
      </c>
      <c r="H5" s="97" t="s">
        <v>142</v>
      </c>
      <c r="I5" s="98">
        <v>20</v>
      </c>
      <c r="J5" s="91">
        <f t="shared" si="0"/>
        <v>0</v>
      </c>
      <c r="K5" s="735"/>
      <c r="L5" s="181">
        <f>K5/64</f>
        <v>0</v>
      </c>
      <c r="M5" s="100">
        <f>I5*K5</f>
        <v>0</v>
      </c>
    </row>
    <row r="6" spans="1:13">
      <c r="B6" s="236"/>
      <c r="C6" s="344" t="s">
        <v>661</v>
      </c>
      <c r="D6" s="78"/>
      <c r="E6" s="700"/>
      <c r="F6" s="653"/>
      <c r="G6" s="180" t="s">
        <v>167</v>
      </c>
      <c r="H6" s="80"/>
      <c r="I6" s="81"/>
      <c r="J6" s="91">
        <f t="shared" si="0"/>
        <v>0</v>
      </c>
      <c r="K6" s="735"/>
      <c r="L6" s="194" t="s">
        <v>662</v>
      </c>
      <c r="M6" s="123"/>
    </row>
    <row r="7" spans="1:13">
      <c r="A7" s="53">
        <v>3</v>
      </c>
      <c r="B7" s="927" t="s">
        <v>663</v>
      </c>
      <c r="C7" s="132" t="s">
        <v>664</v>
      </c>
      <c r="D7" s="235" t="s">
        <v>604</v>
      </c>
      <c r="E7" s="665"/>
      <c r="F7" s="657"/>
      <c r="G7" s="174" t="s">
        <v>665</v>
      </c>
      <c r="H7" s="97" t="s">
        <v>142</v>
      </c>
      <c r="I7" s="98">
        <v>15</v>
      </c>
      <c r="J7" s="91">
        <f t="shared" si="0"/>
        <v>0</v>
      </c>
      <c r="K7" s="737"/>
      <c r="L7" s="181">
        <f>K7/66</f>
        <v>0</v>
      </c>
      <c r="M7" s="100">
        <f>I7*K7</f>
        <v>0</v>
      </c>
    </row>
    <row r="8" spans="1:13">
      <c r="B8" s="928"/>
      <c r="C8" s="176" t="s">
        <v>666</v>
      </c>
      <c r="D8" s="345"/>
      <c r="E8" s="664"/>
      <c r="F8" s="653"/>
      <c r="G8" s="177" t="s">
        <v>667</v>
      </c>
      <c r="H8" s="80"/>
      <c r="I8" s="81"/>
      <c r="J8" s="106">
        <f t="shared" si="0"/>
        <v>0</v>
      </c>
      <c r="K8" s="735"/>
      <c r="L8" s="183" t="s">
        <v>662</v>
      </c>
      <c r="M8" s="115"/>
    </row>
    <row r="9" spans="1:13">
      <c r="A9" s="53">
        <v>4</v>
      </c>
      <c r="B9" s="927" t="s">
        <v>668</v>
      </c>
      <c r="C9" s="346" t="s">
        <v>669</v>
      </c>
      <c r="D9" s="235" t="s">
        <v>670</v>
      </c>
      <c r="E9" s="660"/>
      <c r="F9" s="657"/>
      <c r="G9" s="347" t="s">
        <v>671</v>
      </c>
      <c r="H9" s="348" t="s">
        <v>142</v>
      </c>
      <c r="I9" s="349">
        <v>105</v>
      </c>
      <c r="J9" s="350" t="s">
        <v>672</v>
      </c>
      <c r="K9" s="756"/>
      <c r="L9" s="351">
        <f>K9/40</f>
        <v>0</v>
      </c>
      <c r="M9" s="100">
        <f>I9*K9</f>
        <v>0</v>
      </c>
    </row>
    <row r="10" spans="1:13">
      <c r="B10" s="928"/>
      <c r="C10" s="352" t="s">
        <v>673</v>
      </c>
      <c r="D10" s="353"/>
      <c r="E10" s="652"/>
      <c r="F10" s="653"/>
      <c r="G10" s="354" t="s">
        <v>674</v>
      </c>
      <c r="H10" s="355"/>
      <c r="I10" s="356"/>
      <c r="J10" s="357"/>
      <c r="K10" s="757"/>
      <c r="L10" s="358"/>
      <c r="M10" s="115"/>
    </row>
    <row r="11" spans="1:13">
      <c r="A11" s="53">
        <v>5</v>
      </c>
      <c r="B11" s="930" t="s">
        <v>675</v>
      </c>
      <c r="C11" s="359" t="s">
        <v>676</v>
      </c>
      <c r="D11" s="229" t="s">
        <v>677</v>
      </c>
      <c r="E11" s="669"/>
      <c r="F11" s="662"/>
      <c r="G11" s="360" t="s">
        <v>678</v>
      </c>
      <c r="H11" s="361" t="s">
        <v>142</v>
      </c>
      <c r="I11" s="362">
        <v>105</v>
      </c>
      <c r="J11" s="363" t="s">
        <v>672</v>
      </c>
      <c r="K11" s="758"/>
      <c r="L11" s="364">
        <f>K11/48</f>
        <v>0</v>
      </c>
      <c r="M11" s="100">
        <f>I11*K11</f>
        <v>0</v>
      </c>
    </row>
    <row r="12" spans="1:13">
      <c r="B12" s="928"/>
      <c r="C12" s="352" t="s">
        <v>679</v>
      </c>
      <c r="D12" s="365"/>
      <c r="E12" s="652"/>
      <c r="F12" s="653"/>
      <c r="G12" s="354" t="s">
        <v>674</v>
      </c>
      <c r="H12" s="355"/>
      <c r="I12" s="356"/>
      <c r="J12" s="357"/>
      <c r="K12" s="757"/>
      <c r="L12" s="358"/>
      <c r="M12" s="115"/>
    </row>
    <row r="13" spans="1:13">
      <c r="A13" s="53">
        <v>6</v>
      </c>
      <c r="B13" s="927" t="s">
        <v>680</v>
      </c>
      <c r="C13" s="131" t="s">
        <v>681</v>
      </c>
      <c r="D13" s="229" t="s">
        <v>682</v>
      </c>
      <c r="E13" s="665"/>
      <c r="F13" s="657"/>
      <c r="G13" s="174" t="s">
        <v>683</v>
      </c>
      <c r="H13" s="97" t="s">
        <v>142</v>
      </c>
      <c r="I13" s="98">
        <v>30</v>
      </c>
      <c r="J13" s="91">
        <f t="shared" ref="J13:J18" si="1">(K13*8%)+K13</f>
        <v>0</v>
      </c>
      <c r="K13" s="735"/>
      <c r="L13" s="181">
        <f>K13/50</f>
        <v>0</v>
      </c>
      <c r="M13" s="100">
        <f>I13*K13</f>
        <v>0</v>
      </c>
    </row>
    <row r="14" spans="1:13">
      <c r="B14" s="928"/>
      <c r="C14" s="134" t="s">
        <v>684</v>
      </c>
      <c r="D14" s="126"/>
      <c r="E14" s="664"/>
      <c r="F14" s="653"/>
      <c r="G14" s="180" t="s">
        <v>167</v>
      </c>
      <c r="H14" s="80"/>
      <c r="I14" s="81"/>
      <c r="J14" s="91">
        <f t="shared" si="1"/>
        <v>0</v>
      </c>
      <c r="K14" s="736"/>
      <c r="L14" s="183"/>
      <c r="M14" s="115"/>
    </row>
    <row r="15" spans="1:13">
      <c r="A15" s="53">
        <v>7</v>
      </c>
      <c r="B15" s="116" t="s">
        <v>685</v>
      </c>
      <c r="C15" s="131" t="s">
        <v>686</v>
      </c>
      <c r="D15" s="229" t="s">
        <v>682</v>
      </c>
      <c r="E15" s="665"/>
      <c r="F15" s="657"/>
      <c r="G15" s="174" t="s">
        <v>687</v>
      </c>
      <c r="H15" s="97" t="s">
        <v>142</v>
      </c>
      <c r="I15" s="98">
        <v>51</v>
      </c>
      <c r="J15" s="91">
        <f t="shared" si="1"/>
        <v>0</v>
      </c>
      <c r="K15" s="735"/>
      <c r="L15" s="181">
        <f>K15/50</f>
        <v>0</v>
      </c>
      <c r="M15" s="100">
        <f>I15*K15</f>
        <v>0</v>
      </c>
    </row>
    <row r="16" spans="1:13">
      <c r="B16" s="233"/>
      <c r="C16" s="239" t="s">
        <v>688</v>
      </c>
      <c r="D16" s="130"/>
      <c r="E16" s="663"/>
      <c r="F16" s="662"/>
      <c r="G16" s="180" t="s">
        <v>167</v>
      </c>
      <c r="H16" s="120"/>
      <c r="I16" s="121"/>
      <c r="J16" s="91">
        <f t="shared" si="1"/>
        <v>0</v>
      </c>
      <c r="K16" s="736"/>
      <c r="L16" s="188"/>
      <c r="M16" s="123"/>
    </row>
    <row r="17" spans="1:13">
      <c r="A17" s="53">
        <v>8</v>
      </c>
      <c r="B17" s="76" t="s">
        <v>689</v>
      </c>
      <c r="C17" s="147" t="s">
        <v>690</v>
      </c>
      <c r="D17" s="235" t="s">
        <v>179</v>
      </c>
      <c r="E17" s="665"/>
      <c r="F17" s="657"/>
      <c r="G17" s="174" t="s">
        <v>691</v>
      </c>
      <c r="H17" s="97" t="s">
        <v>142</v>
      </c>
      <c r="I17" s="98">
        <v>10</v>
      </c>
      <c r="J17" s="91">
        <f t="shared" si="1"/>
        <v>0</v>
      </c>
      <c r="K17" s="737"/>
      <c r="L17" s="181">
        <f>K17/20</f>
        <v>0</v>
      </c>
      <c r="M17" s="100">
        <f>I17*K17</f>
        <v>0</v>
      </c>
    </row>
    <row r="18" spans="1:13">
      <c r="B18" s="112"/>
      <c r="C18" s="134" t="s">
        <v>692</v>
      </c>
      <c r="D18" s="126"/>
      <c r="E18" s="664"/>
      <c r="F18" s="653"/>
      <c r="G18" s="177" t="s">
        <v>693</v>
      </c>
      <c r="H18" s="80"/>
      <c r="I18" s="81"/>
      <c r="J18" s="91">
        <f t="shared" si="1"/>
        <v>0</v>
      </c>
      <c r="K18" s="736"/>
      <c r="L18" s="183"/>
      <c r="M18" s="115"/>
    </row>
    <row r="19" spans="1:13">
      <c r="A19" s="53">
        <v>9</v>
      </c>
      <c r="B19" s="112" t="s">
        <v>694</v>
      </c>
      <c r="C19" s="134" t="s">
        <v>695</v>
      </c>
      <c r="D19" s="193" t="s">
        <v>696</v>
      </c>
      <c r="E19" s="664"/>
      <c r="F19" s="653"/>
      <c r="G19" s="177"/>
      <c r="H19" s="80" t="s">
        <v>269</v>
      </c>
      <c r="I19" s="81">
        <v>16</v>
      </c>
      <c r="J19" s="91"/>
      <c r="K19" s="736"/>
      <c r="L19" s="183">
        <f>K19/48</f>
        <v>0</v>
      </c>
      <c r="M19" s="115"/>
    </row>
    <row r="20" spans="1:13">
      <c r="A20" s="53">
        <v>10</v>
      </c>
      <c r="B20" s="85" t="s">
        <v>697</v>
      </c>
      <c r="C20" s="366" t="s">
        <v>698</v>
      </c>
      <c r="D20" s="367" t="s">
        <v>699</v>
      </c>
      <c r="E20" s="654"/>
      <c r="F20" s="655"/>
      <c r="G20" s="368" t="s">
        <v>700</v>
      </c>
      <c r="H20" s="89" t="s">
        <v>218</v>
      </c>
      <c r="I20" s="90">
        <v>4</v>
      </c>
      <c r="J20" s="91">
        <f t="shared" ref="J20:J22" si="2">(K20*8%)+K20</f>
        <v>0</v>
      </c>
      <c r="K20" s="743"/>
      <c r="L20" s="181">
        <f>K20/80</f>
        <v>0</v>
      </c>
      <c r="M20" s="152">
        <f t="shared" ref="M20:M21" si="3">I20*K20</f>
        <v>0</v>
      </c>
    </row>
    <row r="21" spans="1:13">
      <c r="A21" s="53">
        <v>11</v>
      </c>
      <c r="B21" s="927" t="s">
        <v>701</v>
      </c>
      <c r="C21" s="94" t="s">
        <v>702</v>
      </c>
      <c r="D21" s="185" t="s">
        <v>703</v>
      </c>
      <c r="E21" s="665"/>
      <c r="F21" s="657"/>
      <c r="G21" s="174" t="s">
        <v>704</v>
      </c>
      <c r="H21" s="369" t="s">
        <v>142</v>
      </c>
      <c r="I21" s="98">
        <v>60</v>
      </c>
      <c r="J21" s="91">
        <f t="shared" si="2"/>
        <v>0</v>
      </c>
      <c r="K21" s="735"/>
      <c r="L21" s="181">
        <f>K21:K24/72</f>
        <v>0</v>
      </c>
      <c r="M21" s="100">
        <f t="shared" si="3"/>
        <v>0</v>
      </c>
    </row>
    <row r="22" spans="1:13">
      <c r="B22" s="931"/>
      <c r="C22" s="370" t="s">
        <v>705</v>
      </c>
      <c r="D22" s="130"/>
      <c r="E22" s="667"/>
      <c r="F22" s="662"/>
      <c r="G22" s="180"/>
      <c r="H22" s="371"/>
      <c r="I22" s="121"/>
      <c r="J22" s="106">
        <f t="shared" si="2"/>
        <v>0</v>
      </c>
      <c r="K22" s="735"/>
      <c r="L22" s="194"/>
      <c r="M22" s="123"/>
    </row>
    <row r="23" spans="1:13">
      <c r="A23" s="53">
        <v>12</v>
      </c>
      <c r="B23" s="241" t="s">
        <v>706</v>
      </c>
      <c r="C23" s="138" t="s">
        <v>707</v>
      </c>
      <c r="D23" s="198" t="s">
        <v>708</v>
      </c>
      <c r="E23" s="660"/>
      <c r="F23" s="657"/>
      <c r="G23" s="168" t="s">
        <v>709</v>
      </c>
      <c r="H23" s="296" t="s">
        <v>142</v>
      </c>
      <c r="I23" s="228">
        <v>30</v>
      </c>
      <c r="J23" s="106"/>
      <c r="K23" s="732"/>
      <c r="L23" s="169">
        <f>K23/40</f>
        <v>0</v>
      </c>
      <c r="M23" s="100">
        <f>K23*I23</f>
        <v>0</v>
      </c>
    </row>
    <row r="24" spans="1:13">
      <c r="B24" s="112"/>
      <c r="C24" s="134" t="s">
        <v>710</v>
      </c>
      <c r="D24" s="249"/>
      <c r="E24" s="652"/>
      <c r="F24" s="653"/>
      <c r="G24" s="79"/>
      <c r="H24" s="80"/>
      <c r="I24" s="81"/>
      <c r="J24" s="114"/>
      <c r="K24" s="734"/>
      <c r="L24" s="178"/>
      <c r="M24" s="115"/>
    </row>
    <row r="25" spans="1:13">
      <c r="A25" s="53">
        <v>13</v>
      </c>
      <c r="B25" s="76" t="s">
        <v>711</v>
      </c>
      <c r="C25" s="147" t="s">
        <v>712</v>
      </c>
      <c r="D25" s="234" t="s">
        <v>713</v>
      </c>
      <c r="E25" s="753"/>
      <c r="F25" s="696"/>
      <c r="G25" s="945" t="s">
        <v>714</v>
      </c>
      <c r="H25" s="243" t="s">
        <v>142</v>
      </c>
      <c r="I25" s="98">
        <v>20</v>
      </c>
      <c r="J25" s="91">
        <f t="shared" ref="J25:J28" si="4">(K25*8%)+K25</f>
        <v>0</v>
      </c>
      <c r="K25" s="737"/>
      <c r="L25" s="225">
        <f>K25/15</f>
        <v>0</v>
      </c>
      <c r="M25" s="100">
        <f>I25*K25</f>
        <v>0</v>
      </c>
    </row>
    <row r="26" spans="1:13">
      <c r="B26" s="233"/>
      <c r="C26" s="136"/>
      <c r="D26" s="372"/>
      <c r="E26" s="754"/>
      <c r="F26" s="695"/>
      <c r="G26" s="928"/>
      <c r="H26" s="238"/>
      <c r="I26" s="121"/>
      <c r="J26" s="106">
        <f t="shared" si="4"/>
        <v>0</v>
      </c>
      <c r="K26" s="735"/>
      <c r="L26" s="194" t="s">
        <v>715</v>
      </c>
      <c r="M26" s="123"/>
    </row>
    <row r="27" spans="1:13">
      <c r="A27" s="53">
        <v>14</v>
      </c>
      <c r="B27" s="76" t="s">
        <v>716</v>
      </c>
      <c r="C27" s="131" t="s">
        <v>717</v>
      </c>
      <c r="D27" s="198" t="s">
        <v>718</v>
      </c>
      <c r="E27" s="665"/>
      <c r="F27" s="696"/>
      <c r="G27" s="373" t="s">
        <v>719</v>
      </c>
      <c r="H27" s="97" t="s">
        <v>142</v>
      </c>
      <c r="I27" s="98">
        <v>25</v>
      </c>
      <c r="J27" s="91">
        <f t="shared" si="4"/>
        <v>0</v>
      </c>
      <c r="K27" s="737"/>
      <c r="L27" s="181">
        <f>K27/45</f>
        <v>0</v>
      </c>
      <c r="M27" s="133">
        <f>I27*K27</f>
        <v>0</v>
      </c>
    </row>
    <row r="28" spans="1:13">
      <c r="B28" s="233"/>
      <c r="C28" s="239" t="s">
        <v>720</v>
      </c>
      <c r="D28" s="126"/>
      <c r="E28" s="663"/>
      <c r="F28" s="695"/>
      <c r="G28" s="237"/>
      <c r="H28" s="120"/>
      <c r="I28" s="121"/>
      <c r="J28" s="91">
        <f t="shared" si="4"/>
        <v>0</v>
      </c>
      <c r="K28" s="735"/>
      <c r="L28" s="188"/>
      <c r="M28" s="143"/>
    </row>
    <row r="29" spans="1:13">
      <c r="A29" s="53">
        <v>14</v>
      </c>
      <c r="B29" s="76" t="s">
        <v>721</v>
      </c>
      <c r="C29" s="374" t="s">
        <v>722</v>
      </c>
      <c r="D29" s="109" t="s">
        <v>723</v>
      </c>
      <c r="E29" s="665"/>
      <c r="F29" s="657"/>
      <c r="G29" s="174" t="s">
        <v>724</v>
      </c>
      <c r="H29" s="97" t="s">
        <v>142</v>
      </c>
      <c r="I29" s="228">
        <v>5</v>
      </c>
      <c r="J29" s="91"/>
      <c r="K29" s="737"/>
      <c r="L29" s="181">
        <f>K29/150</f>
        <v>0</v>
      </c>
      <c r="M29" s="133">
        <f>K29*I29</f>
        <v>0</v>
      </c>
    </row>
    <row r="30" spans="1:13">
      <c r="A30" s="53">
        <v>15</v>
      </c>
      <c r="B30" s="112"/>
      <c r="C30" s="375" t="s">
        <v>725</v>
      </c>
      <c r="D30" s="376" t="s">
        <v>726</v>
      </c>
      <c r="E30" s="664"/>
      <c r="F30" s="653"/>
      <c r="G30" s="177" t="s">
        <v>727</v>
      </c>
      <c r="H30" s="80"/>
      <c r="I30" s="81"/>
      <c r="J30" s="290"/>
      <c r="K30" s="736"/>
      <c r="L30" s="183"/>
      <c r="M30" s="84"/>
    </row>
    <row r="31" spans="1:13">
      <c r="A31" s="53">
        <v>16</v>
      </c>
      <c r="B31" s="377" t="s">
        <v>728</v>
      </c>
      <c r="C31" s="138" t="s">
        <v>729</v>
      </c>
      <c r="D31" s="230" t="s">
        <v>730</v>
      </c>
      <c r="E31" s="665"/>
      <c r="F31" s="657"/>
      <c r="G31" s="96" t="s">
        <v>731</v>
      </c>
      <c r="H31" s="97" t="s">
        <v>142</v>
      </c>
      <c r="I31" s="98">
        <v>15</v>
      </c>
      <c r="J31" s="91">
        <f t="shared" ref="J31:J64" si="5">(K31*8%)+K31</f>
        <v>0</v>
      </c>
      <c r="K31" s="735"/>
      <c r="L31" s="181">
        <f>K31/80</f>
        <v>0</v>
      </c>
      <c r="M31" s="100">
        <f>K31*I31</f>
        <v>0</v>
      </c>
    </row>
    <row r="32" spans="1:13">
      <c r="B32" s="377"/>
      <c r="C32" s="136"/>
      <c r="D32" s="126"/>
      <c r="E32" s="663"/>
      <c r="F32" s="662"/>
      <c r="G32" s="180" t="s">
        <v>167</v>
      </c>
      <c r="H32" s="120"/>
      <c r="I32" s="121"/>
      <c r="J32" s="91">
        <f t="shared" si="5"/>
        <v>0</v>
      </c>
      <c r="K32" s="736"/>
      <c r="L32" s="183"/>
      <c r="M32" s="123"/>
    </row>
    <row r="33" spans="1:13">
      <c r="A33" s="53">
        <v>17</v>
      </c>
      <c r="B33" s="85" t="s">
        <v>732</v>
      </c>
      <c r="C33" s="160" t="s">
        <v>733</v>
      </c>
      <c r="D33" s="78" t="s">
        <v>734</v>
      </c>
      <c r="E33" s="654"/>
      <c r="F33" s="655"/>
      <c r="G33" s="88" t="s">
        <v>735</v>
      </c>
      <c r="H33" s="89" t="s">
        <v>142</v>
      </c>
      <c r="I33" s="90">
        <v>10</v>
      </c>
      <c r="J33" s="91">
        <f t="shared" si="5"/>
        <v>0</v>
      </c>
      <c r="K33" s="736"/>
      <c r="L33" s="264">
        <f>K33/480</f>
        <v>0</v>
      </c>
      <c r="M33" s="152">
        <f t="shared" ref="M33:M34" si="6">I33*K33</f>
        <v>0</v>
      </c>
    </row>
    <row r="34" spans="1:13">
      <c r="A34" s="53">
        <v>18</v>
      </c>
      <c r="B34" s="76" t="s">
        <v>736</v>
      </c>
      <c r="C34" s="131" t="s">
        <v>737</v>
      </c>
      <c r="D34" s="179" t="s">
        <v>738</v>
      </c>
      <c r="E34" s="665"/>
      <c r="F34" s="657"/>
      <c r="G34" s="168" t="s">
        <v>739</v>
      </c>
      <c r="H34" s="97" t="s">
        <v>142</v>
      </c>
      <c r="I34" s="98">
        <v>90</v>
      </c>
      <c r="J34" s="91">
        <f t="shared" si="5"/>
        <v>0</v>
      </c>
      <c r="K34" s="735"/>
      <c r="L34" s="181">
        <f>K34/96</f>
        <v>0</v>
      </c>
      <c r="M34" s="133">
        <f t="shared" si="6"/>
        <v>0</v>
      </c>
    </row>
    <row r="35" spans="1:13">
      <c r="B35" s="116"/>
      <c r="C35" s="153" t="s">
        <v>740</v>
      </c>
      <c r="D35" s="130"/>
      <c r="E35" s="667"/>
      <c r="F35" s="662"/>
      <c r="G35" s="199" t="s">
        <v>741</v>
      </c>
      <c r="H35" s="120"/>
      <c r="I35" s="121"/>
      <c r="J35" s="106">
        <f t="shared" si="5"/>
        <v>0</v>
      </c>
      <c r="K35" s="735"/>
      <c r="L35" s="194"/>
      <c r="M35" s="155"/>
    </row>
    <row r="36" spans="1:13">
      <c r="A36" s="53">
        <v>19</v>
      </c>
      <c r="B36" s="927" t="s">
        <v>742</v>
      </c>
      <c r="C36" s="131" t="s">
        <v>743</v>
      </c>
      <c r="D36" s="109" t="s">
        <v>744</v>
      </c>
      <c r="E36" s="665"/>
      <c r="F36" s="657"/>
      <c r="G36" s="96" t="s">
        <v>745</v>
      </c>
      <c r="H36" s="97" t="s">
        <v>142</v>
      </c>
      <c r="I36" s="98">
        <v>14</v>
      </c>
      <c r="J36" s="91">
        <f t="shared" si="5"/>
        <v>0</v>
      </c>
      <c r="K36" s="737"/>
      <c r="L36" s="181">
        <f>K36/20</f>
        <v>0</v>
      </c>
      <c r="M36" s="100">
        <f>I36*K36</f>
        <v>0</v>
      </c>
    </row>
    <row r="37" spans="1:13">
      <c r="B37" s="928"/>
      <c r="C37" s="157"/>
      <c r="D37" s="126"/>
      <c r="E37" s="664"/>
      <c r="F37" s="653"/>
      <c r="G37" s="79"/>
      <c r="H37" s="80"/>
      <c r="I37" s="81"/>
      <c r="J37" s="91">
        <f t="shared" si="5"/>
        <v>0</v>
      </c>
      <c r="K37" s="736"/>
      <c r="L37" s="183" t="s">
        <v>746</v>
      </c>
      <c r="M37" s="293"/>
    </row>
    <row r="38" spans="1:13">
      <c r="A38" s="53">
        <v>20</v>
      </c>
      <c r="B38" s="927" t="s">
        <v>747</v>
      </c>
      <c r="C38" s="135" t="s">
        <v>748</v>
      </c>
      <c r="D38" s="198" t="s">
        <v>749</v>
      </c>
      <c r="E38" s="663"/>
      <c r="F38" s="662"/>
      <c r="G38" s="119" t="s">
        <v>750</v>
      </c>
      <c r="H38" s="120" t="s">
        <v>142</v>
      </c>
      <c r="I38" s="98">
        <v>45</v>
      </c>
      <c r="J38" s="91">
        <f t="shared" si="5"/>
        <v>0</v>
      </c>
      <c r="K38" s="735"/>
      <c r="L38" s="181">
        <f>K38/160</f>
        <v>0</v>
      </c>
      <c r="M38" s="100">
        <f>I38*K38</f>
        <v>0</v>
      </c>
    </row>
    <row r="39" spans="1:13">
      <c r="B39" s="928"/>
      <c r="C39" s="136"/>
      <c r="D39" s="126"/>
      <c r="E39" s="663"/>
      <c r="F39" s="662"/>
      <c r="G39" s="119"/>
      <c r="H39" s="120"/>
      <c r="I39" s="121"/>
      <c r="J39" s="91">
        <f t="shared" si="5"/>
        <v>0</v>
      </c>
      <c r="K39" s="735"/>
      <c r="L39" s="188"/>
      <c r="M39" s="378"/>
    </row>
    <row r="40" spans="1:13">
      <c r="A40" s="53">
        <v>21</v>
      </c>
      <c r="B40" s="927" t="s">
        <v>751</v>
      </c>
      <c r="C40" s="131" t="s">
        <v>752</v>
      </c>
      <c r="D40" s="185" t="s">
        <v>749</v>
      </c>
      <c r="E40" s="665"/>
      <c r="F40" s="657"/>
      <c r="G40" s="96" t="s">
        <v>753</v>
      </c>
      <c r="H40" s="97" t="s">
        <v>142</v>
      </c>
      <c r="I40" s="98">
        <v>50</v>
      </c>
      <c r="J40" s="91">
        <f t="shared" si="5"/>
        <v>0</v>
      </c>
      <c r="K40" s="737"/>
      <c r="L40" s="181">
        <f>K40/160</f>
        <v>0</v>
      </c>
      <c r="M40" s="100">
        <f>I40*K40</f>
        <v>0</v>
      </c>
    </row>
    <row r="41" spans="1:13">
      <c r="B41" s="928"/>
      <c r="C41" s="157"/>
      <c r="D41" s="126"/>
      <c r="E41" s="664"/>
      <c r="F41" s="653"/>
      <c r="G41" s="79"/>
      <c r="H41" s="80"/>
      <c r="I41" s="81"/>
      <c r="J41" s="91">
        <f t="shared" si="5"/>
        <v>0</v>
      </c>
      <c r="K41" s="736"/>
      <c r="L41" s="183"/>
      <c r="M41" s="293"/>
    </row>
    <row r="42" spans="1:13">
      <c r="A42" s="53">
        <v>22</v>
      </c>
      <c r="B42" s="116" t="s">
        <v>754</v>
      </c>
      <c r="C42" s="153" t="s">
        <v>755</v>
      </c>
      <c r="D42" s="302"/>
      <c r="E42" s="663"/>
      <c r="F42" s="695"/>
      <c r="G42" s="119" t="s">
        <v>756</v>
      </c>
      <c r="H42" s="120"/>
      <c r="I42" s="121"/>
      <c r="J42" s="91">
        <f t="shared" si="5"/>
        <v>0</v>
      </c>
      <c r="K42" s="735"/>
      <c r="L42" s="188"/>
      <c r="M42" s="155"/>
    </row>
    <row r="43" spans="1:13">
      <c r="B43" s="233"/>
      <c r="C43" s="379"/>
      <c r="D43" s="298" t="s">
        <v>757</v>
      </c>
      <c r="E43" s="663"/>
      <c r="F43" s="695"/>
      <c r="G43" s="119" t="s">
        <v>758</v>
      </c>
      <c r="H43" s="120" t="s">
        <v>759</v>
      </c>
      <c r="I43" s="121">
        <v>5</v>
      </c>
      <c r="J43" s="91">
        <f t="shared" si="5"/>
        <v>0</v>
      </c>
      <c r="K43" s="735"/>
      <c r="L43" s="188">
        <f t="shared" ref="L43:L47" si="7">K43/24</f>
        <v>0</v>
      </c>
      <c r="M43" s="100">
        <f t="shared" ref="M43:M48" si="8">I43*K43</f>
        <v>0</v>
      </c>
    </row>
    <row r="44" spans="1:13">
      <c r="B44" s="233"/>
      <c r="C44" s="380"/>
      <c r="D44" s="298" t="s">
        <v>757</v>
      </c>
      <c r="E44" s="663"/>
      <c r="F44" s="695"/>
      <c r="G44" s="119" t="s">
        <v>760</v>
      </c>
      <c r="H44" s="120" t="s">
        <v>759</v>
      </c>
      <c r="I44" s="121">
        <v>5</v>
      </c>
      <c r="J44" s="91">
        <f t="shared" si="5"/>
        <v>0</v>
      </c>
      <c r="K44" s="735"/>
      <c r="L44" s="188">
        <f t="shared" si="7"/>
        <v>0</v>
      </c>
      <c r="M44" s="100">
        <f t="shared" si="8"/>
        <v>0</v>
      </c>
    </row>
    <row r="45" spans="1:13">
      <c r="B45" s="233"/>
      <c r="C45" s="380"/>
      <c r="D45" s="298" t="s">
        <v>757</v>
      </c>
      <c r="E45" s="663"/>
      <c r="F45" s="695"/>
      <c r="G45" s="119" t="s">
        <v>761</v>
      </c>
      <c r="H45" s="120" t="s">
        <v>759</v>
      </c>
      <c r="I45" s="121">
        <v>5</v>
      </c>
      <c r="J45" s="91">
        <f t="shared" si="5"/>
        <v>0</v>
      </c>
      <c r="K45" s="735"/>
      <c r="L45" s="188">
        <f t="shared" si="7"/>
        <v>0</v>
      </c>
      <c r="M45" s="100">
        <f t="shared" si="8"/>
        <v>0</v>
      </c>
    </row>
    <row r="46" spans="1:13">
      <c r="B46" s="233"/>
      <c r="C46" s="380"/>
      <c r="D46" s="298" t="s">
        <v>757</v>
      </c>
      <c r="E46" s="663"/>
      <c r="F46" s="695"/>
      <c r="G46" s="119" t="s">
        <v>762</v>
      </c>
      <c r="H46" s="120" t="s">
        <v>759</v>
      </c>
      <c r="I46" s="121">
        <v>5</v>
      </c>
      <c r="J46" s="91">
        <f t="shared" si="5"/>
        <v>0</v>
      </c>
      <c r="K46" s="735"/>
      <c r="L46" s="188">
        <f t="shared" si="7"/>
        <v>0</v>
      </c>
      <c r="M46" s="100">
        <f t="shared" si="8"/>
        <v>0</v>
      </c>
    </row>
    <row r="47" spans="1:13">
      <c r="B47" s="233"/>
      <c r="C47" s="380"/>
      <c r="D47" s="298" t="s">
        <v>757</v>
      </c>
      <c r="E47" s="663"/>
      <c r="F47" s="695"/>
      <c r="G47" s="119" t="s">
        <v>763</v>
      </c>
      <c r="H47" s="120" t="s">
        <v>759</v>
      </c>
      <c r="I47" s="121">
        <v>2</v>
      </c>
      <c r="J47" s="262">
        <f t="shared" si="5"/>
        <v>0</v>
      </c>
      <c r="K47" s="736"/>
      <c r="L47" s="188">
        <f t="shared" si="7"/>
        <v>0</v>
      </c>
      <c r="M47" s="100">
        <f t="shared" si="8"/>
        <v>0</v>
      </c>
    </row>
    <row r="48" spans="1:13">
      <c r="A48" s="53">
        <v>23</v>
      </c>
      <c r="B48" s="927" t="s">
        <v>764</v>
      </c>
      <c r="C48" s="131" t="s">
        <v>765</v>
      </c>
      <c r="D48" s="381" t="s">
        <v>766</v>
      </c>
      <c r="E48" s="665"/>
      <c r="F48" s="696"/>
      <c r="G48" s="96" t="s">
        <v>767</v>
      </c>
      <c r="H48" s="97" t="s">
        <v>142</v>
      </c>
      <c r="I48" s="98">
        <v>10</v>
      </c>
      <c r="J48" s="91">
        <f t="shared" si="5"/>
        <v>0</v>
      </c>
      <c r="K48" s="735"/>
      <c r="L48" s="181">
        <f>K48/46</f>
        <v>0</v>
      </c>
      <c r="M48" s="100">
        <f t="shared" si="8"/>
        <v>0</v>
      </c>
    </row>
    <row r="49" spans="1:13">
      <c r="B49" s="928"/>
      <c r="C49" s="213" t="s">
        <v>768</v>
      </c>
      <c r="D49" s="126"/>
      <c r="E49" s="664"/>
      <c r="F49" s="653"/>
      <c r="G49" s="79" t="s">
        <v>167</v>
      </c>
      <c r="H49" s="80"/>
      <c r="I49" s="81"/>
      <c r="J49" s="91">
        <f t="shared" si="5"/>
        <v>0</v>
      </c>
      <c r="K49" s="735"/>
      <c r="L49" s="183"/>
      <c r="M49" s="115"/>
    </row>
    <row r="50" spans="1:13">
      <c r="A50" s="53">
        <v>24</v>
      </c>
      <c r="B50" s="927" t="s">
        <v>769</v>
      </c>
      <c r="C50" s="131" t="s">
        <v>770</v>
      </c>
      <c r="D50" s="109" t="s">
        <v>771</v>
      </c>
      <c r="E50" s="665"/>
      <c r="F50" s="696"/>
      <c r="G50" s="96" t="s">
        <v>772</v>
      </c>
      <c r="H50" s="97" t="s">
        <v>142</v>
      </c>
      <c r="I50" s="98">
        <v>50</v>
      </c>
      <c r="J50" s="91">
        <f t="shared" si="5"/>
        <v>0</v>
      </c>
      <c r="K50" s="737"/>
      <c r="L50" s="181">
        <f>K50/40</f>
        <v>0</v>
      </c>
      <c r="M50" s="100">
        <f>I50*K50</f>
        <v>0</v>
      </c>
    </row>
    <row r="51" spans="1:13">
      <c r="B51" s="928"/>
      <c r="C51" s="213" t="s">
        <v>773</v>
      </c>
      <c r="D51" s="126"/>
      <c r="E51" s="664"/>
      <c r="F51" s="653"/>
      <c r="G51" s="79" t="s">
        <v>167</v>
      </c>
      <c r="H51" s="80"/>
      <c r="I51" s="81"/>
      <c r="J51" s="91">
        <f t="shared" si="5"/>
        <v>0</v>
      </c>
      <c r="K51" s="736"/>
      <c r="L51" s="183"/>
      <c r="M51" s="115"/>
    </row>
    <row r="52" spans="1:13">
      <c r="A52" s="53">
        <v>25</v>
      </c>
      <c r="B52" s="927" t="s">
        <v>774</v>
      </c>
      <c r="C52" s="94" t="s">
        <v>775</v>
      </c>
      <c r="D52" s="234" t="s">
        <v>776</v>
      </c>
      <c r="E52" s="665"/>
      <c r="F52" s="657"/>
      <c r="G52" s="96" t="s">
        <v>777</v>
      </c>
      <c r="H52" s="97" t="s">
        <v>142</v>
      </c>
      <c r="I52" s="98">
        <v>120</v>
      </c>
      <c r="J52" s="91">
        <f t="shared" si="5"/>
        <v>0</v>
      </c>
      <c r="K52" s="737"/>
      <c r="L52" s="181">
        <f>K52/80</f>
        <v>0</v>
      </c>
      <c r="M52" s="100">
        <f>I52*K52</f>
        <v>0</v>
      </c>
    </row>
    <row r="53" spans="1:13">
      <c r="B53" s="931"/>
      <c r="C53" s="117" t="s">
        <v>778</v>
      </c>
      <c r="D53" s="130"/>
      <c r="E53" s="663"/>
      <c r="F53" s="662"/>
      <c r="G53" s="119" t="s">
        <v>167</v>
      </c>
      <c r="H53" s="120"/>
      <c r="I53" s="121"/>
      <c r="J53" s="91">
        <f t="shared" si="5"/>
        <v>0</v>
      </c>
      <c r="K53" s="735"/>
      <c r="L53" s="188"/>
      <c r="M53" s="123"/>
    </row>
    <row r="54" spans="1:13">
      <c r="B54" s="928"/>
      <c r="C54" s="77" t="s">
        <v>779</v>
      </c>
      <c r="D54" s="126"/>
      <c r="E54" s="664"/>
      <c r="F54" s="653"/>
      <c r="G54" s="79"/>
      <c r="H54" s="80"/>
      <c r="I54" s="81"/>
      <c r="J54" s="91">
        <f t="shared" si="5"/>
        <v>0</v>
      </c>
      <c r="K54" s="736"/>
      <c r="L54" s="183"/>
      <c r="M54" s="293"/>
    </row>
    <row r="55" spans="1:13">
      <c r="A55" s="53">
        <v>26</v>
      </c>
      <c r="B55" s="76" t="s">
        <v>780</v>
      </c>
      <c r="C55" s="131" t="s">
        <v>781</v>
      </c>
      <c r="D55" s="185" t="s">
        <v>243</v>
      </c>
      <c r="E55" s="665"/>
      <c r="F55" s="657"/>
      <c r="G55" s="96" t="s">
        <v>782</v>
      </c>
      <c r="H55" s="97" t="s">
        <v>142</v>
      </c>
      <c r="I55" s="98">
        <v>75</v>
      </c>
      <c r="J55" s="91">
        <f t="shared" si="5"/>
        <v>0</v>
      </c>
      <c r="K55" s="735"/>
      <c r="L55" s="181">
        <f>K55/96</f>
        <v>0</v>
      </c>
      <c r="M55" s="133">
        <f>I55*K55</f>
        <v>0</v>
      </c>
    </row>
    <row r="56" spans="1:13">
      <c r="B56" s="112"/>
      <c r="C56" s="157"/>
      <c r="D56" s="126"/>
      <c r="E56" s="664"/>
      <c r="F56" s="653"/>
      <c r="G56" s="79" t="s">
        <v>167</v>
      </c>
      <c r="H56" s="80"/>
      <c r="I56" s="81"/>
      <c r="J56" s="106">
        <f t="shared" si="5"/>
        <v>0</v>
      </c>
      <c r="K56" s="735"/>
      <c r="L56" s="194"/>
      <c r="M56" s="293"/>
    </row>
    <row r="57" spans="1:13">
      <c r="A57" s="53">
        <v>27</v>
      </c>
      <c r="B57" s="253" t="s">
        <v>783</v>
      </c>
      <c r="C57" s="153" t="s">
        <v>784</v>
      </c>
      <c r="D57" s="298" t="s">
        <v>785</v>
      </c>
      <c r="E57" s="661"/>
      <c r="F57" s="662"/>
      <c r="G57" s="119" t="s">
        <v>786</v>
      </c>
      <c r="H57" s="120" t="s">
        <v>142</v>
      </c>
      <c r="I57" s="121">
        <v>20</v>
      </c>
      <c r="J57" s="82">
        <f t="shared" si="5"/>
        <v>0</v>
      </c>
      <c r="K57" s="735"/>
      <c r="L57" s="225">
        <f>K57/48</f>
        <v>0</v>
      </c>
      <c r="M57" s="123">
        <f>I57*K57</f>
        <v>0</v>
      </c>
    </row>
    <row r="58" spans="1:13">
      <c r="B58" s="112"/>
      <c r="C58" s="162"/>
      <c r="D58" s="126"/>
      <c r="E58" s="664"/>
      <c r="F58" s="653"/>
      <c r="G58" s="79" t="s">
        <v>167</v>
      </c>
      <c r="H58" s="80"/>
      <c r="I58" s="81"/>
      <c r="J58" s="91">
        <f t="shared" si="5"/>
        <v>0</v>
      </c>
      <c r="K58" s="736"/>
      <c r="L58" s="183"/>
      <c r="M58" s="115"/>
    </row>
    <row r="59" spans="1:13">
      <c r="A59" s="53">
        <v>28</v>
      </c>
      <c r="B59" s="241" t="s">
        <v>787</v>
      </c>
      <c r="C59" s="138" t="s">
        <v>788</v>
      </c>
      <c r="D59" s="185"/>
      <c r="E59" s="665"/>
      <c r="F59" s="657"/>
      <c r="G59" s="168" t="s">
        <v>789</v>
      </c>
      <c r="H59" s="97" t="s">
        <v>142</v>
      </c>
      <c r="I59" s="98">
        <v>20</v>
      </c>
      <c r="J59" s="91">
        <f t="shared" si="5"/>
        <v>0</v>
      </c>
      <c r="K59" s="735"/>
      <c r="L59" s="181"/>
      <c r="M59" s="100">
        <f>I59*K59</f>
        <v>0</v>
      </c>
    </row>
    <row r="60" spans="1:13">
      <c r="B60" s="112"/>
      <c r="C60" s="162"/>
      <c r="D60" s="126"/>
      <c r="E60" s="664"/>
      <c r="F60" s="653"/>
      <c r="G60" s="214" t="s">
        <v>790</v>
      </c>
      <c r="H60" s="80"/>
      <c r="I60" s="81"/>
      <c r="J60" s="91">
        <f t="shared" si="5"/>
        <v>0</v>
      </c>
      <c r="K60" s="736"/>
      <c r="L60" s="183"/>
      <c r="M60" s="115"/>
    </row>
    <row r="61" spans="1:13">
      <c r="B61" s="76" t="s">
        <v>791</v>
      </c>
      <c r="C61" s="944" t="s">
        <v>792</v>
      </c>
      <c r="D61" s="302"/>
      <c r="E61" s="665"/>
      <c r="F61" s="657"/>
      <c r="G61" s="96" t="s">
        <v>793</v>
      </c>
      <c r="H61" s="97" t="s">
        <v>142</v>
      </c>
      <c r="I61" s="98">
        <v>200</v>
      </c>
      <c r="J61" s="91">
        <f t="shared" si="5"/>
        <v>0</v>
      </c>
      <c r="K61" s="735"/>
      <c r="L61" s="181">
        <f>K61/48</f>
        <v>0</v>
      </c>
      <c r="M61" s="100">
        <f>I61*K61</f>
        <v>0</v>
      </c>
    </row>
    <row r="62" spans="1:13">
      <c r="A62" s="53">
        <v>29</v>
      </c>
      <c r="B62" s="116"/>
      <c r="C62" s="931"/>
      <c r="D62" s="239" t="s">
        <v>794</v>
      </c>
      <c r="E62" s="663"/>
      <c r="F62" s="662"/>
      <c r="G62" s="119" t="s">
        <v>795</v>
      </c>
      <c r="H62" s="120"/>
      <c r="I62" s="121"/>
      <c r="J62" s="91">
        <f t="shared" si="5"/>
        <v>0</v>
      </c>
      <c r="K62" s="735"/>
      <c r="L62" s="188"/>
      <c r="M62" s="123"/>
    </row>
    <row r="63" spans="1:13">
      <c r="A63" s="53">
        <v>30</v>
      </c>
      <c r="B63" s="116"/>
      <c r="C63" s="382"/>
      <c r="D63" s="239" t="s">
        <v>794</v>
      </c>
      <c r="E63" s="663"/>
      <c r="F63" s="662"/>
      <c r="G63" s="383" t="s">
        <v>796</v>
      </c>
      <c r="H63" s="120"/>
      <c r="I63" s="121"/>
      <c r="J63" s="91">
        <f t="shared" si="5"/>
        <v>0</v>
      </c>
      <c r="K63" s="735"/>
      <c r="L63" s="188"/>
      <c r="M63" s="123"/>
    </row>
    <row r="64" spans="1:13">
      <c r="A64" s="53">
        <v>31</v>
      </c>
      <c r="B64" s="116"/>
      <c r="C64" s="382"/>
      <c r="D64" s="239" t="s">
        <v>794</v>
      </c>
      <c r="E64" s="663"/>
      <c r="F64" s="662"/>
      <c r="G64" s="119" t="s">
        <v>797</v>
      </c>
      <c r="H64" s="120"/>
      <c r="I64" s="121"/>
      <c r="J64" s="91">
        <f t="shared" si="5"/>
        <v>0</v>
      </c>
      <c r="K64" s="735"/>
      <c r="L64" s="188"/>
      <c r="M64" s="123"/>
    </row>
    <row r="65" spans="1:13">
      <c r="A65" s="53">
        <v>32</v>
      </c>
      <c r="B65" s="136"/>
      <c r="C65" s="382"/>
      <c r="D65" s="239" t="s">
        <v>794</v>
      </c>
      <c r="E65" s="755"/>
      <c r="F65" s="662"/>
      <c r="G65" s="180" t="s">
        <v>798</v>
      </c>
      <c r="H65" s="136"/>
      <c r="I65" s="136"/>
      <c r="J65" s="384"/>
      <c r="K65" s="735"/>
      <c r="L65" s="385"/>
      <c r="M65" s="123"/>
    </row>
    <row r="66" spans="1:13">
      <c r="A66" s="53">
        <v>33</v>
      </c>
      <c r="B66" s="136"/>
      <c r="C66" s="382"/>
      <c r="D66" s="239" t="s">
        <v>794</v>
      </c>
      <c r="E66" s="755"/>
      <c r="F66" s="662"/>
      <c r="G66" s="386" t="s">
        <v>799</v>
      </c>
      <c r="H66" s="136"/>
      <c r="I66" s="136"/>
      <c r="J66" s="384"/>
      <c r="K66" s="735"/>
      <c r="L66" s="385"/>
      <c r="M66" s="123"/>
    </row>
    <row r="67" spans="1:13">
      <c r="A67" s="53">
        <v>34</v>
      </c>
      <c r="B67" s="136"/>
      <c r="C67" s="382"/>
      <c r="D67" s="239" t="s">
        <v>794</v>
      </c>
      <c r="E67" s="387"/>
      <c r="F67" s="62"/>
      <c r="G67" s="180" t="s">
        <v>800</v>
      </c>
      <c r="H67" s="136"/>
      <c r="I67" s="136"/>
      <c r="J67" s="384"/>
      <c r="K67" s="735"/>
      <c r="L67" s="388"/>
      <c r="M67" s="123"/>
    </row>
    <row r="68" spans="1:13">
      <c r="B68" s="923" t="s">
        <v>801</v>
      </c>
      <c r="C68" s="924"/>
      <c r="D68" s="924"/>
      <c r="E68" s="924"/>
      <c r="F68" s="924"/>
      <c r="G68" s="924"/>
      <c r="H68" s="924"/>
      <c r="I68" s="924"/>
      <c r="J68" s="167"/>
      <c r="K68" s="925">
        <f>SUM(M3:M67)</f>
        <v>0</v>
      </c>
      <c r="L68" s="924"/>
      <c r="M68" s="926"/>
    </row>
  </sheetData>
  <sheetProtection algorithmName="SHA-512" hashValue="6p3+G0NHrRlbXr66hLxoZ0T/bqjV2zkTvDiOsIHGNIHTRzU+nMkr/MnpxPMkeMDza8T23gyD7o/FhGGaDSh/XA==" saltValue="dAwvnmCRP3ks0hX97MtEFQ==" spinCount="100000" sheet="1" objects="1" scenarios="1" selectLockedCells="1"/>
  <mergeCells count="18">
    <mergeCell ref="K68:M68"/>
    <mergeCell ref="B21:B22"/>
    <mergeCell ref="G25:G26"/>
    <mergeCell ref="B36:B37"/>
    <mergeCell ref="B38:B39"/>
    <mergeCell ref="B40:B41"/>
    <mergeCell ref="B48:B49"/>
    <mergeCell ref="B50:B51"/>
    <mergeCell ref="B11:B12"/>
    <mergeCell ref="B13:B14"/>
    <mergeCell ref="B52:B54"/>
    <mergeCell ref="C61:C62"/>
    <mergeCell ref="B68:I68"/>
    <mergeCell ref="B2:M2"/>
    <mergeCell ref="B3:B4"/>
    <mergeCell ref="E3:E4"/>
    <mergeCell ref="B7:B8"/>
    <mergeCell ref="B9:B10"/>
  </mergeCells>
  <pageMargins left="0.25" right="0.25" top="0.25" bottom="0.25" header="0.25" footer="0.25"/>
  <pageSetup scale="5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M159"/>
  <sheetViews>
    <sheetView workbookViewId="0">
      <selection activeCell="K17" sqref="K17"/>
    </sheetView>
  </sheetViews>
  <sheetFormatPr defaultColWidth="14.42578125" defaultRowHeight="15" customHeight="1"/>
  <cols>
    <col min="1" max="1" width="4.28515625" customWidth="1"/>
    <col min="2" max="2" width="33.7109375" customWidth="1"/>
    <col min="3" max="3" width="64.85546875" customWidth="1"/>
    <col min="4" max="4" width="12.42578125" customWidth="1"/>
    <col min="5" max="5" width="12.85546875" customWidth="1"/>
    <col min="6" max="6" width="11.7109375" customWidth="1"/>
    <col min="7" max="7" width="35.5703125" customWidth="1"/>
    <col min="8" max="8" width="9.5703125" customWidth="1"/>
    <col min="9" max="9" width="9.42578125" customWidth="1"/>
    <col min="10" max="10" width="14.42578125" hidden="1"/>
    <col min="11" max="11" width="11" customWidth="1"/>
    <col min="12" max="12" width="11.28515625" customWidth="1"/>
    <col min="13" max="13" width="11.42578125" customWidth="1"/>
  </cols>
  <sheetData>
    <row r="1" spans="1:13">
      <c r="A1" s="60"/>
      <c r="B1" s="66" t="s">
        <v>93</v>
      </c>
      <c r="C1" s="67" t="s">
        <v>94</v>
      </c>
      <c r="D1" s="68" t="s">
        <v>95</v>
      </c>
      <c r="E1" s="69" t="s">
        <v>96</v>
      </c>
      <c r="F1" s="70" t="s">
        <v>97</v>
      </c>
      <c r="G1" s="71" t="s">
        <v>98</v>
      </c>
      <c r="H1" s="71" t="s">
        <v>99</v>
      </c>
      <c r="I1" s="72" t="s">
        <v>100</v>
      </c>
      <c r="J1" s="73" t="s">
        <v>101</v>
      </c>
      <c r="K1" s="74" t="s">
        <v>102</v>
      </c>
      <c r="L1" s="75" t="s">
        <v>103</v>
      </c>
      <c r="M1" s="71" t="s">
        <v>104</v>
      </c>
    </row>
    <row r="2" spans="1:13">
      <c r="A2" s="57"/>
      <c r="B2" s="946" t="s">
        <v>802</v>
      </c>
      <c r="C2" s="921"/>
      <c r="D2" s="921"/>
      <c r="E2" s="921"/>
      <c r="F2" s="921"/>
      <c r="G2" s="921"/>
      <c r="H2" s="921"/>
      <c r="I2" s="921"/>
      <c r="J2" s="921"/>
      <c r="K2" s="921"/>
      <c r="L2" s="921"/>
      <c r="M2" s="922"/>
    </row>
    <row r="3" spans="1:13">
      <c r="A3" s="57">
        <v>1</v>
      </c>
      <c r="B3" s="389" t="s">
        <v>803</v>
      </c>
      <c r="C3" s="239" t="s">
        <v>804</v>
      </c>
      <c r="D3" s="298" t="s">
        <v>805</v>
      </c>
      <c r="E3" s="669"/>
      <c r="F3" s="719"/>
      <c r="G3" s="119" t="s">
        <v>806</v>
      </c>
      <c r="H3" s="120" t="s">
        <v>142</v>
      </c>
      <c r="I3" s="390">
        <v>45</v>
      </c>
      <c r="J3" s="140">
        <f t="shared" ref="J3:J4" si="0">(K3*8%)+K3</f>
        <v>0</v>
      </c>
      <c r="K3" s="681"/>
      <c r="L3" s="141">
        <f t="shared" ref="L3:L4" si="1">K3/72</f>
        <v>0</v>
      </c>
      <c r="M3" s="123">
        <f t="shared" ref="M3:M4" si="2">K3*I3</f>
        <v>0</v>
      </c>
    </row>
    <row r="4" spans="1:13">
      <c r="A4" s="57">
        <v>2</v>
      </c>
      <c r="B4" s="389" t="s">
        <v>807</v>
      </c>
      <c r="C4" s="239" t="s">
        <v>808</v>
      </c>
      <c r="D4" s="298" t="s">
        <v>805</v>
      </c>
      <c r="E4" s="669"/>
      <c r="F4" s="719"/>
      <c r="G4" s="119" t="s">
        <v>809</v>
      </c>
      <c r="H4" s="120" t="s">
        <v>142</v>
      </c>
      <c r="I4" s="390">
        <v>45</v>
      </c>
      <c r="J4" s="140">
        <f t="shared" si="0"/>
        <v>0</v>
      </c>
      <c r="K4" s="681"/>
      <c r="L4" s="141">
        <f t="shared" si="1"/>
        <v>0</v>
      </c>
      <c r="M4" s="123">
        <f t="shared" si="2"/>
        <v>0</v>
      </c>
    </row>
    <row r="5" spans="1:13">
      <c r="A5" s="63"/>
      <c r="B5" s="391"/>
      <c r="C5" s="157"/>
      <c r="D5" s="126"/>
      <c r="E5" s="652"/>
      <c r="F5" s="726"/>
      <c r="G5" s="79" t="s">
        <v>810</v>
      </c>
      <c r="H5" s="80"/>
      <c r="I5" s="392"/>
      <c r="J5" s="114"/>
      <c r="K5" s="673"/>
      <c r="L5" s="144"/>
      <c r="M5" s="393"/>
    </row>
    <row r="6" spans="1:13">
      <c r="A6" s="53">
        <v>3</v>
      </c>
      <c r="B6" s="116" t="s">
        <v>811</v>
      </c>
      <c r="C6" s="117" t="s">
        <v>812</v>
      </c>
      <c r="D6" s="118" t="s">
        <v>813</v>
      </c>
      <c r="E6" s="661"/>
      <c r="F6" s="719"/>
      <c r="G6" s="119" t="s">
        <v>814</v>
      </c>
      <c r="H6" s="120" t="s">
        <v>142</v>
      </c>
      <c r="I6" s="121">
        <v>60</v>
      </c>
      <c r="J6" s="82">
        <f t="shared" ref="J6:J26" si="3">(K6*8%)+K6</f>
        <v>0</v>
      </c>
      <c r="K6" s="677"/>
      <c r="L6" s="122">
        <f>K6/216</f>
        <v>0</v>
      </c>
      <c r="M6" s="123">
        <f>K6*I6</f>
        <v>0</v>
      </c>
    </row>
    <row r="7" spans="1:13">
      <c r="B7" s="116"/>
      <c r="C7" s="170" t="s">
        <v>815</v>
      </c>
      <c r="D7" s="126"/>
      <c r="E7" s="663"/>
      <c r="F7" s="719"/>
      <c r="G7" s="119"/>
      <c r="H7" s="120"/>
      <c r="I7" s="121"/>
      <c r="J7" s="91">
        <f t="shared" si="3"/>
        <v>0</v>
      </c>
      <c r="K7" s="678"/>
      <c r="L7" s="124"/>
      <c r="M7" s="123"/>
    </row>
    <row r="8" spans="1:13">
      <c r="A8" s="53">
        <v>4</v>
      </c>
      <c r="B8" s="76" t="s">
        <v>816</v>
      </c>
      <c r="C8" s="132" t="s">
        <v>817</v>
      </c>
      <c r="D8" s="234" t="s">
        <v>818</v>
      </c>
      <c r="E8" s="665"/>
      <c r="F8" s="718"/>
      <c r="G8" s="96" t="s">
        <v>819</v>
      </c>
      <c r="H8" s="97" t="s">
        <v>142</v>
      </c>
      <c r="I8" s="98">
        <v>20</v>
      </c>
      <c r="J8" s="91">
        <f t="shared" si="3"/>
        <v>0</v>
      </c>
      <c r="K8" s="739"/>
      <c r="L8" s="156">
        <f t="shared" ref="L8:L9" si="4">K8/144</f>
        <v>0</v>
      </c>
      <c r="M8" s="100">
        <f>I8*K8</f>
        <v>0</v>
      </c>
    </row>
    <row r="9" spans="1:13">
      <c r="B9" s="112"/>
      <c r="C9" s="77" t="s">
        <v>820</v>
      </c>
      <c r="D9" s="126"/>
      <c r="E9" s="664"/>
      <c r="F9" s="726"/>
      <c r="G9" s="79" t="s">
        <v>821</v>
      </c>
      <c r="H9" s="80"/>
      <c r="I9" s="81"/>
      <c r="J9" s="91">
        <f t="shared" si="3"/>
        <v>0</v>
      </c>
      <c r="K9" s="738"/>
      <c r="L9" s="158">
        <f t="shared" si="4"/>
        <v>0</v>
      </c>
      <c r="M9" s="293"/>
    </row>
    <row r="10" spans="1:13">
      <c r="A10" s="53">
        <v>5</v>
      </c>
      <c r="B10" s="927" t="s">
        <v>822</v>
      </c>
      <c r="C10" s="132" t="s">
        <v>823</v>
      </c>
      <c r="D10" s="185" t="s">
        <v>824</v>
      </c>
      <c r="E10" s="665"/>
      <c r="F10" s="718"/>
      <c r="G10" s="96" t="s">
        <v>825</v>
      </c>
      <c r="H10" s="97" t="s">
        <v>142</v>
      </c>
      <c r="I10" s="98">
        <v>20</v>
      </c>
      <c r="J10" s="91">
        <f t="shared" si="3"/>
        <v>0</v>
      </c>
      <c r="K10" s="732"/>
      <c r="L10" s="156">
        <f>K10/72</f>
        <v>0</v>
      </c>
      <c r="M10" s="100">
        <f>I10*K10</f>
        <v>0</v>
      </c>
    </row>
    <row r="11" spans="1:13">
      <c r="B11" s="928"/>
      <c r="C11" s="77" t="s">
        <v>826</v>
      </c>
      <c r="D11" s="126"/>
      <c r="E11" s="664"/>
      <c r="F11" s="726"/>
      <c r="G11" s="79" t="s">
        <v>821</v>
      </c>
      <c r="H11" s="80"/>
      <c r="I11" s="81"/>
      <c r="J11" s="91">
        <f t="shared" si="3"/>
        <v>0</v>
      </c>
      <c r="K11" s="734"/>
      <c r="L11" s="158"/>
      <c r="M11" s="293"/>
    </row>
    <row r="12" spans="1:13">
      <c r="A12" s="53">
        <v>6</v>
      </c>
      <c r="B12" s="116" t="s">
        <v>827</v>
      </c>
      <c r="C12" s="132" t="s">
        <v>828</v>
      </c>
      <c r="D12" s="118" t="s">
        <v>829</v>
      </c>
      <c r="E12" s="663"/>
      <c r="F12" s="719"/>
      <c r="G12" s="96" t="s">
        <v>830</v>
      </c>
      <c r="H12" s="97" t="s">
        <v>142</v>
      </c>
      <c r="I12" s="98">
        <v>40</v>
      </c>
      <c r="J12" s="91">
        <f t="shared" si="3"/>
        <v>0</v>
      </c>
      <c r="K12" s="738"/>
      <c r="L12" s="156">
        <f>K12/72</f>
        <v>0</v>
      </c>
      <c r="M12" s="100">
        <f>I12*K12</f>
        <v>0</v>
      </c>
    </row>
    <row r="13" spans="1:13">
      <c r="B13" s="116"/>
      <c r="C13" s="77" t="s">
        <v>831</v>
      </c>
      <c r="D13" s="130"/>
      <c r="E13" s="663"/>
      <c r="F13" s="719"/>
      <c r="G13" s="79" t="s">
        <v>821</v>
      </c>
      <c r="H13" s="80"/>
      <c r="I13" s="81"/>
      <c r="J13" s="91">
        <f t="shared" si="3"/>
        <v>0</v>
      </c>
      <c r="K13" s="738"/>
      <c r="L13" s="158"/>
      <c r="M13" s="293"/>
    </row>
    <row r="14" spans="1:13">
      <c r="A14" s="53">
        <v>7</v>
      </c>
      <c r="B14" s="76" t="s">
        <v>832</v>
      </c>
      <c r="C14" s="94" t="s">
        <v>833</v>
      </c>
      <c r="D14" s="234" t="s">
        <v>834</v>
      </c>
      <c r="E14" s="660"/>
      <c r="F14" s="718"/>
      <c r="G14" s="96" t="s">
        <v>835</v>
      </c>
      <c r="H14" s="97" t="s">
        <v>142</v>
      </c>
      <c r="I14" s="98">
        <v>50</v>
      </c>
      <c r="J14" s="106">
        <f t="shared" si="3"/>
        <v>0</v>
      </c>
      <c r="K14" s="732"/>
      <c r="L14" s="169">
        <f>K14/60</f>
        <v>0</v>
      </c>
      <c r="M14" s="100">
        <f t="shared" ref="M14:M15" si="5">I14*K14</f>
        <v>0</v>
      </c>
    </row>
    <row r="15" spans="1:13">
      <c r="A15" s="53">
        <v>8</v>
      </c>
      <c r="B15" s="927" t="s">
        <v>836</v>
      </c>
      <c r="C15" s="131" t="s">
        <v>837</v>
      </c>
      <c r="D15" s="230" t="s">
        <v>838</v>
      </c>
      <c r="E15" s="660"/>
      <c r="F15" s="718"/>
      <c r="G15" s="96" t="s">
        <v>839</v>
      </c>
      <c r="H15" s="97" t="s">
        <v>142</v>
      </c>
      <c r="I15" s="98">
        <v>90</v>
      </c>
      <c r="J15" s="106">
        <f t="shared" si="3"/>
        <v>0</v>
      </c>
      <c r="K15" s="732"/>
      <c r="L15" s="169">
        <f>K15/62.667</f>
        <v>0</v>
      </c>
      <c r="M15" s="100">
        <f t="shared" si="5"/>
        <v>0</v>
      </c>
    </row>
    <row r="16" spans="1:13">
      <c r="B16" s="928"/>
      <c r="C16" s="77" t="s">
        <v>840</v>
      </c>
      <c r="D16" s="249" t="s">
        <v>841</v>
      </c>
      <c r="E16" s="652"/>
      <c r="F16" s="726"/>
      <c r="G16" s="79" t="s">
        <v>821</v>
      </c>
      <c r="H16" s="80"/>
      <c r="I16" s="81"/>
      <c r="J16" s="114">
        <f t="shared" si="3"/>
        <v>0</v>
      </c>
      <c r="K16" s="734"/>
      <c r="L16" s="178" t="s">
        <v>842</v>
      </c>
      <c r="M16" s="115"/>
    </row>
    <row r="17" spans="1:13">
      <c r="A17" s="53">
        <v>9</v>
      </c>
      <c r="B17" s="116" t="s">
        <v>843</v>
      </c>
      <c r="C17" s="135" t="s">
        <v>844</v>
      </c>
      <c r="D17" s="185" t="s">
        <v>845</v>
      </c>
      <c r="E17" s="661"/>
      <c r="F17" s="719"/>
      <c r="G17" s="119" t="s">
        <v>846</v>
      </c>
      <c r="H17" s="120" t="s">
        <v>142</v>
      </c>
      <c r="I17" s="121">
        <v>40</v>
      </c>
      <c r="J17" s="82">
        <f t="shared" si="3"/>
        <v>0</v>
      </c>
      <c r="K17" s="733"/>
      <c r="L17" s="328">
        <f>K17/72</f>
        <v>0</v>
      </c>
      <c r="M17" s="123">
        <f>I17*K17</f>
        <v>0</v>
      </c>
    </row>
    <row r="18" spans="1:13">
      <c r="B18" s="116"/>
      <c r="C18" s="135" t="s">
        <v>847</v>
      </c>
      <c r="D18" s="130"/>
      <c r="E18" s="663"/>
      <c r="F18" s="719"/>
      <c r="G18" s="119" t="s">
        <v>821</v>
      </c>
      <c r="H18" s="120"/>
      <c r="I18" s="121"/>
      <c r="J18" s="91">
        <f t="shared" si="3"/>
        <v>0</v>
      </c>
      <c r="K18" s="733"/>
      <c r="L18" s="159"/>
      <c r="M18" s="155"/>
    </row>
    <row r="19" spans="1:13">
      <c r="B19" s="112"/>
      <c r="C19" s="134" t="s">
        <v>848</v>
      </c>
      <c r="D19" s="126"/>
      <c r="E19" s="664"/>
      <c r="F19" s="726"/>
      <c r="G19" s="79"/>
      <c r="H19" s="80"/>
      <c r="I19" s="81"/>
      <c r="J19" s="91">
        <f t="shared" si="3"/>
        <v>0</v>
      </c>
      <c r="K19" s="734"/>
      <c r="L19" s="158"/>
      <c r="M19" s="293"/>
    </row>
    <row r="20" spans="1:13">
      <c r="A20" s="53">
        <v>10</v>
      </c>
      <c r="B20" s="76" t="s">
        <v>849</v>
      </c>
      <c r="C20" s="131" t="s">
        <v>850</v>
      </c>
      <c r="D20" s="185" t="s">
        <v>851</v>
      </c>
      <c r="E20" s="665"/>
      <c r="F20" s="718"/>
      <c r="G20" s="96" t="s">
        <v>852</v>
      </c>
      <c r="H20" s="97" t="s">
        <v>142</v>
      </c>
      <c r="I20" s="98">
        <v>42</v>
      </c>
      <c r="J20" s="91">
        <f t="shared" si="3"/>
        <v>0</v>
      </c>
      <c r="K20" s="738"/>
      <c r="L20" s="156">
        <f>K20/72</f>
        <v>0</v>
      </c>
      <c r="M20" s="100">
        <f>I20*K20</f>
        <v>0</v>
      </c>
    </row>
    <row r="21" spans="1:13">
      <c r="B21" s="112"/>
      <c r="C21" s="213" t="s">
        <v>853</v>
      </c>
      <c r="D21" s="126"/>
      <c r="E21" s="664"/>
      <c r="F21" s="726"/>
      <c r="G21" s="79" t="s">
        <v>821</v>
      </c>
      <c r="H21" s="80"/>
      <c r="I21" s="81"/>
      <c r="J21" s="91">
        <f t="shared" si="3"/>
        <v>0</v>
      </c>
      <c r="K21" s="738"/>
      <c r="L21" s="158" t="s">
        <v>854</v>
      </c>
      <c r="M21" s="115"/>
    </row>
    <row r="22" spans="1:13">
      <c r="B22" s="241" t="s">
        <v>855</v>
      </c>
      <c r="C22" s="147" t="s">
        <v>856</v>
      </c>
      <c r="D22" s="109" t="s">
        <v>857</v>
      </c>
      <c r="E22" s="665"/>
      <c r="F22" s="718"/>
      <c r="G22" s="96" t="s">
        <v>858</v>
      </c>
      <c r="H22" s="97"/>
      <c r="I22" s="98"/>
      <c r="J22" s="91">
        <f t="shared" si="3"/>
        <v>0</v>
      </c>
      <c r="K22" s="769"/>
      <c r="L22" s="156"/>
      <c r="M22" s="100"/>
    </row>
    <row r="23" spans="1:13">
      <c r="A23" s="53">
        <v>11</v>
      </c>
      <c r="B23" s="116"/>
      <c r="C23" s="129" t="s">
        <v>859</v>
      </c>
      <c r="D23" s="130"/>
      <c r="E23" s="663"/>
      <c r="F23" s="719"/>
      <c r="G23" s="119" t="s">
        <v>860</v>
      </c>
      <c r="H23" s="120" t="s">
        <v>142</v>
      </c>
      <c r="I23" s="121">
        <v>15</v>
      </c>
      <c r="J23" s="91">
        <f t="shared" si="3"/>
        <v>0</v>
      </c>
      <c r="K23" s="733"/>
      <c r="L23" s="159">
        <f t="shared" ref="L23:L26" si="6">K23/120</f>
        <v>0</v>
      </c>
      <c r="M23" s="123">
        <f t="shared" ref="M23:M27" si="7">I23*K23</f>
        <v>0</v>
      </c>
    </row>
    <row r="24" spans="1:13">
      <c r="A24" s="53">
        <v>12</v>
      </c>
      <c r="B24" s="116"/>
      <c r="C24" s="135" t="s">
        <v>861</v>
      </c>
      <c r="D24" s="130"/>
      <c r="E24" s="663"/>
      <c r="F24" s="719"/>
      <c r="G24" s="119" t="s">
        <v>862</v>
      </c>
      <c r="H24" s="120"/>
      <c r="I24" s="121">
        <v>17</v>
      </c>
      <c r="J24" s="91">
        <f t="shared" si="3"/>
        <v>0</v>
      </c>
      <c r="K24" s="733"/>
      <c r="L24" s="159">
        <f t="shared" si="6"/>
        <v>0</v>
      </c>
      <c r="M24" s="123">
        <f t="shared" si="7"/>
        <v>0</v>
      </c>
    </row>
    <row r="25" spans="1:13">
      <c r="A25" s="53">
        <v>13</v>
      </c>
      <c r="B25" s="116"/>
      <c r="C25" s="153" t="s">
        <v>863</v>
      </c>
      <c r="D25" s="130"/>
      <c r="E25" s="663"/>
      <c r="F25" s="719"/>
      <c r="G25" s="119" t="s">
        <v>864</v>
      </c>
      <c r="H25" s="120"/>
      <c r="I25" s="121">
        <v>25</v>
      </c>
      <c r="J25" s="91">
        <f t="shared" si="3"/>
        <v>0</v>
      </c>
      <c r="K25" s="733"/>
      <c r="L25" s="159">
        <f t="shared" si="6"/>
        <v>0</v>
      </c>
      <c r="M25" s="123">
        <f t="shared" si="7"/>
        <v>0</v>
      </c>
    </row>
    <row r="26" spans="1:13">
      <c r="A26" s="53">
        <v>14</v>
      </c>
      <c r="B26" s="112"/>
      <c r="C26" s="213" t="s">
        <v>865</v>
      </c>
      <c r="D26" s="126"/>
      <c r="E26" s="664"/>
      <c r="F26" s="726"/>
      <c r="G26" s="119" t="s">
        <v>866</v>
      </c>
      <c r="H26" s="80"/>
      <c r="I26" s="81">
        <v>15</v>
      </c>
      <c r="J26" s="106">
        <f t="shared" si="3"/>
        <v>0</v>
      </c>
      <c r="K26" s="734"/>
      <c r="L26" s="301">
        <f t="shared" si="6"/>
        <v>0</v>
      </c>
      <c r="M26" s="123">
        <f t="shared" si="7"/>
        <v>0</v>
      </c>
    </row>
    <row r="27" spans="1:13">
      <c r="A27" s="53">
        <v>15</v>
      </c>
      <c r="B27" s="241" t="s">
        <v>867</v>
      </c>
      <c r="C27" s="138" t="s">
        <v>868</v>
      </c>
      <c r="D27" s="381" t="s">
        <v>869</v>
      </c>
      <c r="E27" s="660"/>
      <c r="F27" s="718"/>
      <c r="G27" s="168" t="s">
        <v>870</v>
      </c>
      <c r="H27" s="296" t="s">
        <v>142</v>
      </c>
      <c r="I27" s="228">
        <v>15</v>
      </c>
      <c r="J27" s="91"/>
      <c r="K27" s="739"/>
      <c r="L27" s="156">
        <f>K27/108</f>
        <v>0</v>
      </c>
      <c r="M27" s="100">
        <f t="shared" si="7"/>
        <v>0</v>
      </c>
    </row>
    <row r="28" spans="1:13">
      <c r="B28" s="112"/>
      <c r="C28" s="213" t="s">
        <v>871</v>
      </c>
      <c r="D28" s="376"/>
      <c r="E28" s="652"/>
      <c r="F28" s="726"/>
      <c r="G28" s="79"/>
      <c r="H28" s="80"/>
      <c r="I28" s="81"/>
      <c r="J28" s="127"/>
      <c r="K28" s="740"/>
      <c r="L28" s="178"/>
      <c r="M28" s="115"/>
    </row>
    <row r="29" spans="1:13">
      <c r="A29" s="53">
        <v>16</v>
      </c>
      <c r="B29" s="253" t="s">
        <v>872</v>
      </c>
      <c r="C29" s="153" t="s">
        <v>873</v>
      </c>
      <c r="D29" s="179" t="s">
        <v>869</v>
      </c>
      <c r="E29" s="669"/>
      <c r="F29" s="719"/>
      <c r="G29" s="199" t="s">
        <v>874</v>
      </c>
      <c r="H29" s="296" t="s">
        <v>142</v>
      </c>
      <c r="I29" s="228">
        <v>15</v>
      </c>
      <c r="J29" s="91"/>
      <c r="K29" s="739"/>
      <c r="L29" s="156">
        <f>K29/108</f>
        <v>0</v>
      </c>
      <c r="M29" s="100">
        <f>I29*K29</f>
        <v>0</v>
      </c>
    </row>
    <row r="30" spans="1:13">
      <c r="B30" s="112"/>
      <c r="C30" s="213" t="s">
        <v>875</v>
      </c>
      <c r="D30" s="376"/>
      <c r="E30" s="652"/>
      <c r="F30" s="726"/>
      <c r="G30" s="79"/>
      <c r="H30" s="80"/>
      <c r="I30" s="81"/>
      <c r="J30" s="127"/>
      <c r="K30" s="740"/>
      <c r="L30" s="178"/>
      <c r="M30" s="115"/>
    </row>
    <row r="31" spans="1:13">
      <c r="A31" s="53">
        <v>17</v>
      </c>
      <c r="B31" s="76" t="s">
        <v>876</v>
      </c>
      <c r="C31" s="131" t="s">
        <v>877</v>
      </c>
      <c r="D31" s="179" t="s">
        <v>878</v>
      </c>
      <c r="E31" s="665"/>
      <c r="F31" s="718"/>
      <c r="G31" s="96" t="s">
        <v>879</v>
      </c>
      <c r="H31" s="97" t="s">
        <v>142</v>
      </c>
      <c r="I31" s="98">
        <v>15</v>
      </c>
      <c r="J31" s="91">
        <f t="shared" ref="J31:J38" si="8">(K31*8%)+K31</f>
        <v>0</v>
      </c>
      <c r="K31" s="738"/>
      <c r="L31" s="156">
        <f>K31/72</f>
        <v>0</v>
      </c>
      <c r="M31" s="100">
        <f>I31*K31</f>
        <v>0</v>
      </c>
    </row>
    <row r="32" spans="1:13">
      <c r="B32" s="112"/>
      <c r="C32" s="77" t="s">
        <v>880</v>
      </c>
      <c r="D32" s="126"/>
      <c r="E32" s="664"/>
      <c r="F32" s="726"/>
      <c r="G32" s="79" t="s">
        <v>821</v>
      </c>
      <c r="H32" s="80"/>
      <c r="I32" s="81"/>
      <c r="J32" s="91">
        <f t="shared" si="8"/>
        <v>0</v>
      </c>
      <c r="K32" s="738"/>
      <c r="L32" s="158" t="s">
        <v>854</v>
      </c>
      <c r="M32" s="293"/>
    </row>
    <row r="33" spans="1:13">
      <c r="A33" s="53">
        <v>18</v>
      </c>
      <c r="B33" s="76" t="s">
        <v>881</v>
      </c>
      <c r="C33" s="131" t="s">
        <v>882</v>
      </c>
      <c r="D33" s="185" t="s">
        <v>883</v>
      </c>
      <c r="E33" s="665"/>
      <c r="F33" s="718"/>
      <c r="G33" s="96" t="s">
        <v>884</v>
      </c>
      <c r="H33" s="97" t="s">
        <v>142</v>
      </c>
      <c r="I33" s="98">
        <v>150</v>
      </c>
      <c r="J33" s="91">
        <f t="shared" si="8"/>
        <v>0</v>
      </c>
      <c r="K33" s="732"/>
      <c r="L33" s="156">
        <f>K33/48</f>
        <v>0</v>
      </c>
      <c r="M33" s="100">
        <f>I33*K33</f>
        <v>0</v>
      </c>
    </row>
    <row r="34" spans="1:13">
      <c r="B34" s="112"/>
      <c r="C34" s="77" t="s">
        <v>885</v>
      </c>
      <c r="D34" s="126"/>
      <c r="E34" s="664"/>
      <c r="F34" s="726"/>
      <c r="G34" s="79" t="s">
        <v>821</v>
      </c>
      <c r="H34" s="80"/>
      <c r="I34" s="81"/>
      <c r="J34" s="91">
        <f t="shared" si="8"/>
        <v>0</v>
      </c>
      <c r="K34" s="734"/>
      <c r="L34" s="158" t="s">
        <v>886</v>
      </c>
      <c r="M34" s="293"/>
    </row>
    <row r="35" spans="1:13">
      <c r="A35" s="53">
        <v>19</v>
      </c>
      <c r="B35" s="85" t="s">
        <v>887</v>
      </c>
      <c r="C35" s="86" t="s">
        <v>888</v>
      </c>
      <c r="D35" s="185" t="s">
        <v>889</v>
      </c>
      <c r="E35" s="654"/>
      <c r="F35" s="759"/>
      <c r="G35" s="88" t="s">
        <v>890</v>
      </c>
      <c r="H35" s="89" t="s">
        <v>142</v>
      </c>
      <c r="I35" s="90">
        <v>32</v>
      </c>
      <c r="J35" s="91">
        <f t="shared" si="8"/>
        <v>0</v>
      </c>
      <c r="K35" s="738"/>
      <c r="L35" s="161">
        <f>K35/130</f>
        <v>0</v>
      </c>
      <c r="M35" s="152">
        <f>I35*K35</f>
        <v>0</v>
      </c>
    </row>
    <row r="36" spans="1:13">
      <c r="A36" s="53">
        <v>20</v>
      </c>
      <c r="B36" s="76" t="s">
        <v>891</v>
      </c>
      <c r="C36" s="138" t="s">
        <v>892</v>
      </c>
      <c r="D36" s="109" t="s">
        <v>893</v>
      </c>
      <c r="E36" s="660"/>
      <c r="F36" s="718"/>
      <c r="G36" s="96" t="s">
        <v>894</v>
      </c>
      <c r="H36" s="97" t="s">
        <v>142</v>
      </c>
      <c r="I36" s="394">
        <v>15</v>
      </c>
      <c r="J36" s="106">
        <f t="shared" si="8"/>
        <v>0</v>
      </c>
      <c r="K36" s="732"/>
      <c r="L36" s="110">
        <f t="shared" ref="L36:L38" si="9">K36/96</f>
        <v>0</v>
      </c>
      <c r="M36" s="100">
        <f t="shared" ref="M36:M39" si="10">K36*I36</f>
        <v>0</v>
      </c>
    </row>
    <row r="37" spans="1:13">
      <c r="A37" s="53">
        <v>21</v>
      </c>
      <c r="B37" s="85" t="s">
        <v>895</v>
      </c>
      <c r="C37" s="395" t="s">
        <v>896</v>
      </c>
      <c r="D37" s="87" t="s">
        <v>893</v>
      </c>
      <c r="E37" s="654"/>
      <c r="F37" s="759"/>
      <c r="G37" s="88" t="s">
        <v>897</v>
      </c>
      <c r="H37" s="89" t="s">
        <v>142</v>
      </c>
      <c r="I37" s="166">
        <v>180</v>
      </c>
      <c r="J37" s="127">
        <f t="shared" si="8"/>
        <v>0</v>
      </c>
      <c r="K37" s="770"/>
      <c r="L37" s="92">
        <f t="shared" si="9"/>
        <v>0</v>
      </c>
      <c r="M37" s="152">
        <f t="shared" si="10"/>
        <v>0</v>
      </c>
    </row>
    <row r="38" spans="1:13">
      <c r="A38" s="53">
        <v>22</v>
      </c>
      <c r="B38" s="85" t="s">
        <v>898</v>
      </c>
      <c r="C38" s="395" t="s">
        <v>899</v>
      </c>
      <c r="D38" s="217" t="s">
        <v>900</v>
      </c>
      <c r="E38" s="654"/>
      <c r="F38" s="759"/>
      <c r="G38" s="88" t="s">
        <v>901</v>
      </c>
      <c r="H38" s="89" t="s">
        <v>142</v>
      </c>
      <c r="I38" s="166">
        <v>10</v>
      </c>
      <c r="J38" s="127">
        <f t="shared" si="8"/>
        <v>0</v>
      </c>
      <c r="K38" s="744"/>
      <c r="L38" s="92">
        <f t="shared" si="9"/>
        <v>0</v>
      </c>
      <c r="M38" s="152">
        <f t="shared" si="10"/>
        <v>0</v>
      </c>
    </row>
    <row r="39" spans="1:13">
      <c r="A39" s="53">
        <v>23</v>
      </c>
      <c r="B39" s="253" t="s">
        <v>902</v>
      </c>
      <c r="C39" s="197" t="s">
        <v>903</v>
      </c>
      <c r="D39" s="229" t="s">
        <v>904</v>
      </c>
      <c r="E39" s="669"/>
      <c r="F39" s="719"/>
      <c r="G39" s="199" t="s">
        <v>905</v>
      </c>
      <c r="H39" s="389" t="s">
        <v>142</v>
      </c>
      <c r="I39" s="257">
        <v>30</v>
      </c>
      <c r="J39" s="106"/>
      <c r="K39" s="738"/>
      <c r="L39" s="200">
        <f>K39/150</f>
        <v>0</v>
      </c>
      <c r="M39" s="123">
        <f t="shared" si="10"/>
        <v>0</v>
      </c>
    </row>
    <row r="40" spans="1:13">
      <c r="B40" s="112"/>
      <c r="C40" s="341" t="s">
        <v>906</v>
      </c>
      <c r="D40" s="232"/>
      <c r="E40" s="652"/>
      <c r="F40" s="726"/>
      <c r="G40" s="79"/>
      <c r="H40" s="80"/>
      <c r="I40" s="81"/>
      <c r="J40" s="127"/>
      <c r="K40" s="740"/>
      <c r="L40" s="178"/>
      <c r="M40" s="115"/>
    </row>
    <row r="41" spans="1:13">
      <c r="A41" s="53">
        <v>24</v>
      </c>
      <c r="B41" s="116" t="s">
        <v>907</v>
      </c>
      <c r="C41" s="197" t="s">
        <v>908</v>
      </c>
      <c r="D41" s="229" t="s">
        <v>909</v>
      </c>
      <c r="E41" s="661"/>
      <c r="F41" s="719"/>
      <c r="G41" s="119" t="s">
        <v>910</v>
      </c>
      <c r="H41" s="120" t="s">
        <v>911</v>
      </c>
      <c r="I41" s="121">
        <v>20</v>
      </c>
      <c r="J41" s="91"/>
      <c r="K41" s="738"/>
      <c r="L41" s="328">
        <f t="shared" ref="L41:L42" si="11">K41/125</f>
        <v>0</v>
      </c>
      <c r="M41" s="123">
        <f t="shared" ref="M41:M42" si="12">K41*I41</f>
        <v>0</v>
      </c>
    </row>
    <row r="42" spans="1:13">
      <c r="B42" s="116"/>
      <c r="C42" s="197" t="s">
        <v>912</v>
      </c>
      <c r="D42" s="232" t="s">
        <v>913</v>
      </c>
      <c r="E42" s="663"/>
      <c r="F42" s="719"/>
      <c r="G42" s="119" t="s">
        <v>914</v>
      </c>
      <c r="H42" s="120" t="s">
        <v>911</v>
      </c>
      <c r="I42" s="121">
        <v>20</v>
      </c>
      <c r="J42" s="91"/>
      <c r="K42" s="738"/>
      <c r="L42" s="301">
        <f t="shared" si="11"/>
        <v>0</v>
      </c>
      <c r="M42" s="123">
        <f t="shared" si="12"/>
        <v>0</v>
      </c>
    </row>
    <row r="43" spans="1:13">
      <c r="A43" s="53">
        <v>25</v>
      </c>
      <c r="B43" s="76" t="s">
        <v>915</v>
      </c>
      <c r="C43" s="222" t="s">
        <v>916</v>
      </c>
      <c r="D43" s="396" t="s">
        <v>917</v>
      </c>
      <c r="E43" s="665"/>
      <c r="F43" s="718"/>
      <c r="G43" s="96" t="s">
        <v>918</v>
      </c>
      <c r="H43" s="97" t="s">
        <v>142</v>
      </c>
      <c r="I43" s="98">
        <v>28</v>
      </c>
      <c r="J43" s="262">
        <f t="shared" ref="J43:J59" si="13">(K43*8%)+K43</f>
        <v>0</v>
      </c>
      <c r="K43" s="732"/>
      <c r="L43" s="169">
        <f t="shared" ref="L43:L44" si="14">K43/96</f>
        <v>0</v>
      </c>
      <c r="M43" s="100">
        <f t="shared" ref="M43:M47" si="15">I43*K43</f>
        <v>0</v>
      </c>
    </row>
    <row r="44" spans="1:13">
      <c r="A44" s="53">
        <v>26</v>
      </c>
      <c r="B44" s="116"/>
      <c r="C44" s="197" t="s">
        <v>919</v>
      </c>
      <c r="D44" s="397" t="s">
        <v>920</v>
      </c>
      <c r="E44" s="663"/>
      <c r="F44" s="719"/>
      <c r="G44" s="119" t="s">
        <v>921</v>
      </c>
      <c r="H44" s="120"/>
      <c r="I44" s="121">
        <v>24</v>
      </c>
      <c r="J44" s="262">
        <f t="shared" si="13"/>
        <v>0</v>
      </c>
      <c r="K44" s="733"/>
      <c r="L44" s="200">
        <f t="shared" si="14"/>
        <v>0</v>
      </c>
      <c r="M44" s="123">
        <f t="shared" si="15"/>
        <v>0</v>
      </c>
    </row>
    <row r="45" spans="1:13">
      <c r="A45" s="53">
        <v>27</v>
      </c>
      <c r="B45" s="116" t="s">
        <v>922</v>
      </c>
      <c r="C45" s="197" t="s">
        <v>923</v>
      </c>
      <c r="D45" s="396" t="s">
        <v>924</v>
      </c>
      <c r="E45" s="663"/>
      <c r="F45" s="719"/>
      <c r="G45" s="119" t="s">
        <v>925</v>
      </c>
      <c r="H45" s="120" t="s">
        <v>142</v>
      </c>
      <c r="I45" s="121">
        <v>2</v>
      </c>
      <c r="J45" s="262">
        <f t="shared" si="13"/>
        <v>0</v>
      </c>
      <c r="K45" s="733"/>
      <c r="L45" s="200">
        <f t="shared" ref="L45:L46" si="16">K45/600</f>
        <v>0</v>
      </c>
      <c r="M45" s="123">
        <f t="shared" si="15"/>
        <v>0</v>
      </c>
    </row>
    <row r="46" spans="1:13">
      <c r="A46" s="53">
        <v>28</v>
      </c>
      <c r="B46" s="116" t="s">
        <v>926</v>
      </c>
      <c r="C46" s="252" t="s">
        <v>927</v>
      </c>
      <c r="D46" s="227" t="s">
        <v>924</v>
      </c>
      <c r="E46" s="664"/>
      <c r="F46" s="726"/>
      <c r="G46" s="79" t="s">
        <v>928</v>
      </c>
      <c r="H46" s="80" t="s">
        <v>142</v>
      </c>
      <c r="I46" s="81">
        <v>2</v>
      </c>
      <c r="J46" s="262">
        <f t="shared" si="13"/>
        <v>0</v>
      </c>
      <c r="K46" s="734"/>
      <c r="L46" s="178">
        <f t="shared" si="16"/>
        <v>0</v>
      </c>
      <c r="M46" s="115">
        <f t="shared" si="15"/>
        <v>0</v>
      </c>
    </row>
    <row r="47" spans="1:13">
      <c r="B47" s="76" t="s">
        <v>915</v>
      </c>
      <c r="C47" s="398" t="s">
        <v>929</v>
      </c>
      <c r="D47" s="229" t="s">
        <v>930</v>
      </c>
      <c r="E47" s="665"/>
      <c r="F47" s="718"/>
      <c r="G47" s="96" t="s">
        <v>931</v>
      </c>
      <c r="H47" s="97" t="s">
        <v>142</v>
      </c>
      <c r="I47" s="98">
        <f>SUM(I48:I51)</f>
        <v>72</v>
      </c>
      <c r="J47" s="91">
        <f t="shared" si="13"/>
        <v>0</v>
      </c>
      <c r="K47" s="738"/>
      <c r="L47" s="328">
        <f>K47/96</f>
        <v>0</v>
      </c>
      <c r="M47" s="123">
        <f t="shared" si="15"/>
        <v>0</v>
      </c>
    </row>
    <row r="48" spans="1:13">
      <c r="A48" s="53">
        <v>29</v>
      </c>
      <c r="B48" s="116"/>
      <c r="C48" s="117" t="s">
        <v>932</v>
      </c>
      <c r="D48" s="399" t="s">
        <v>933</v>
      </c>
      <c r="E48" s="663"/>
      <c r="F48" s="719"/>
      <c r="G48" s="119" t="s">
        <v>934</v>
      </c>
      <c r="H48" s="120"/>
      <c r="I48" s="121">
        <v>28</v>
      </c>
      <c r="J48" s="91">
        <f t="shared" si="13"/>
        <v>0</v>
      </c>
      <c r="K48" s="738"/>
      <c r="L48" s="159"/>
      <c r="M48" s="123"/>
    </row>
    <row r="49" spans="1:13">
      <c r="A49" s="53">
        <v>30</v>
      </c>
      <c r="B49" s="116"/>
      <c r="C49" s="135"/>
      <c r="D49" s="399" t="s">
        <v>933</v>
      </c>
      <c r="E49" s="663"/>
      <c r="F49" s="719"/>
      <c r="G49" s="119" t="s">
        <v>935</v>
      </c>
      <c r="H49" s="120"/>
      <c r="I49" s="121">
        <v>9</v>
      </c>
      <c r="J49" s="91">
        <f t="shared" si="13"/>
        <v>0</v>
      </c>
      <c r="K49" s="738"/>
      <c r="L49" s="159"/>
      <c r="M49" s="123"/>
    </row>
    <row r="50" spans="1:13">
      <c r="A50" s="53">
        <v>31</v>
      </c>
      <c r="B50" s="116"/>
      <c r="C50" s="305"/>
      <c r="D50" s="399" t="s">
        <v>933</v>
      </c>
      <c r="E50" s="663"/>
      <c r="F50" s="719"/>
      <c r="G50" s="119" t="s">
        <v>936</v>
      </c>
      <c r="H50" s="120"/>
      <c r="I50" s="121">
        <v>6</v>
      </c>
      <c r="J50" s="91">
        <f t="shared" si="13"/>
        <v>0</v>
      </c>
      <c r="K50" s="738"/>
      <c r="L50" s="159"/>
      <c r="M50" s="123"/>
    </row>
    <row r="51" spans="1:13">
      <c r="A51" s="53">
        <v>32</v>
      </c>
      <c r="B51" s="112"/>
      <c r="C51" s="392"/>
      <c r="D51" s="400" t="s">
        <v>933</v>
      </c>
      <c r="E51" s="664"/>
      <c r="F51" s="726"/>
      <c r="G51" s="79" t="s">
        <v>937</v>
      </c>
      <c r="H51" s="80"/>
      <c r="I51" s="81">
        <v>29</v>
      </c>
      <c r="J51" s="91">
        <f t="shared" si="13"/>
        <v>0</v>
      </c>
      <c r="K51" s="738"/>
      <c r="L51" s="158"/>
      <c r="M51" s="115"/>
    </row>
    <row r="52" spans="1:13">
      <c r="B52" s="253" t="s">
        <v>938</v>
      </c>
      <c r="C52" s="135" t="s">
        <v>939</v>
      </c>
      <c r="D52" s="234" t="s">
        <v>940</v>
      </c>
      <c r="E52" s="663"/>
      <c r="F52" s="719"/>
      <c r="G52" s="119" t="s">
        <v>941</v>
      </c>
      <c r="H52" s="120" t="s">
        <v>142</v>
      </c>
      <c r="I52" s="121">
        <f>I53+I54</f>
        <v>38</v>
      </c>
      <c r="J52" s="91">
        <f t="shared" si="13"/>
        <v>0</v>
      </c>
      <c r="K52" s="732"/>
      <c r="L52" s="159">
        <f>K52/108</f>
        <v>0</v>
      </c>
      <c r="M52" s="123">
        <f>K52*I52</f>
        <v>0</v>
      </c>
    </row>
    <row r="53" spans="1:13">
      <c r="A53" s="53">
        <v>33</v>
      </c>
      <c r="B53" s="253" t="s">
        <v>942</v>
      </c>
      <c r="C53" s="117" t="s">
        <v>943</v>
      </c>
      <c r="D53" s="399" t="s">
        <v>944</v>
      </c>
      <c r="E53" s="663"/>
      <c r="F53" s="719"/>
      <c r="G53" s="119" t="s">
        <v>945</v>
      </c>
      <c r="H53" s="120"/>
      <c r="I53" s="121">
        <v>26</v>
      </c>
      <c r="J53" s="91">
        <f t="shared" si="13"/>
        <v>0</v>
      </c>
      <c r="K53" s="733"/>
      <c r="L53" s="159"/>
      <c r="M53" s="123"/>
    </row>
    <row r="54" spans="1:13">
      <c r="A54" s="53">
        <v>34</v>
      </c>
      <c r="B54" s="116"/>
      <c r="C54" s="305"/>
      <c r="D54" s="400" t="s">
        <v>944</v>
      </c>
      <c r="E54" s="663"/>
      <c r="F54" s="719"/>
      <c r="G54" s="119" t="s">
        <v>946</v>
      </c>
      <c r="H54" s="120"/>
      <c r="I54" s="121">
        <v>12</v>
      </c>
      <c r="J54" s="91">
        <f t="shared" si="13"/>
        <v>0</v>
      </c>
      <c r="K54" s="734"/>
      <c r="L54" s="159"/>
      <c r="M54" s="123"/>
    </row>
    <row r="55" spans="1:13">
      <c r="B55" s="76" t="s">
        <v>947</v>
      </c>
      <c r="C55" s="132" t="s">
        <v>948</v>
      </c>
      <c r="D55" s="234" t="s">
        <v>949</v>
      </c>
      <c r="E55" s="665"/>
      <c r="F55" s="718"/>
      <c r="G55" s="96" t="s">
        <v>950</v>
      </c>
      <c r="H55" s="97" t="s">
        <v>142</v>
      </c>
      <c r="I55" s="98">
        <f>I56+I57+I58</f>
        <v>41</v>
      </c>
      <c r="J55" s="91">
        <f t="shared" si="13"/>
        <v>0</v>
      </c>
      <c r="K55" s="738"/>
      <c r="L55" s="156">
        <f>K55/96</f>
        <v>0</v>
      </c>
      <c r="M55" s="100">
        <f>I55*K55</f>
        <v>0</v>
      </c>
    </row>
    <row r="56" spans="1:13">
      <c r="A56" s="53">
        <v>35</v>
      </c>
      <c r="B56" s="116"/>
      <c r="C56" s="239" t="s">
        <v>951</v>
      </c>
      <c r="D56" s="399" t="s">
        <v>952</v>
      </c>
      <c r="E56" s="663"/>
      <c r="F56" s="719"/>
      <c r="G56" s="119" t="s">
        <v>953</v>
      </c>
      <c r="H56" s="120"/>
      <c r="I56" s="121">
        <v>9</v>
      </c>
      <c r="J56" s="91">
        <f t="shared" si="13"/>
        <v>0</v>
      </c>
      <c r="K56" s="738"/>
      <c r="L56" s="159"/>
      <c r="M56" s="123"/>
    </row>
    <row r="57" spans="1:13">
      <c r="A57" s="53">
        <v>36</v>
      </c>
      <c r="B57" s="116"/>
      <c r="C57" s="305"/>
      <c r="D57" s="399" t="s">
        <v>952</v>
      </c>
      <c r="E57" s="663"/>
      <c r="F57" s="719"/>
      <c r="G57" s="119" t="s">
        <v>954</v>
      </c>
      <c r="H57" s="120"/>
      <c r="I57" s="121">
        <v>20</v>
      </c>
      <c r="J57" s="91">
        <f t="shared" si="13"/>
        <v>0</v>
      </c>
      <c r="K57" s="738"/>
      <c r="L57" s="159"/>
      <c r="M57" s="123"/>
    </row>
    <row r="58" spans="1:13">
      <c r="A58" s="53">
        <v>37</v>
      </c>
      <c r="B58" s="112"/>
      <c r="C58" s="125"/>
      <c r="D58" s="401" t="s">
        <v>952</v>
      </c>
      <c r="E58" s="664"/>
      <c r="F58" s="726"/>
      <c r="G58" s="79" t="s">
        <v>955</v>
      </c>
      <c r="H58" s="80"/>
      <c r="I58" s="81">
        <v>12</v>
      </c>
      <c r="J58" s="91">
        <f t="shared" si="13"/>
        <v>0</v>
      </c>
      <c r="K58" s="738"/>
      <c r="L58" s="158"/>
      <c r="M58" s="115"/>
    </row>
    <row r="59" spans="1:13">
      <c r="B59" s="76" t="s">
        <v>956</v>
      </c>
      <c r="C59" s="132" t="s">
        <v>957</v>
      </c>
      <c r="D59" s="185" t="s">
        <v>958</v>
      </c>
      <c r="E59" s="665"/>
      <c r="F59" s="718"/>
      <c r="G59" s="96" t="s">
        <v>931</v>
      </c>
      <c r="H59" s="97" t="s">
        <v>142</v>
      </c>
      <c r="I59" s="98">
        <f>SUM(I60:I69)</f>
        <v>592</v>
      </c>
      <c r="J59" s="91">
        <f t="shared" si="13"/>
        <v>0</v>
      </c>
      <c r="K59" s="732"/>
      <c r="L59" s="156">
        <f>K59/96</f>
        <v>0</v>
      </c>
      <c r="M59" s="100">
        <f>(I59*K59)</f>
        <v>0</v>
      </c>
    </row>
    <row r="60" spans="1:13">
      <c r="A60" s="53">
        <v>38</v>
      </c>
      <c r="B60" s="116"/>
      <c r="C60" s="117"/>
      <c r="D60" s="185" t="s">
        <v>958</v>
      </c>
      <c r="E60" s="661"/>
      <c r="F60" s="719"/>
      <c r="G60" s="402" t="s">
        <v>959</v>
      </c>
      <c r="H60" s="403" t="s">
        <v>960</v>
      </c>
      <c r="I60" s="257">
        <v>25</v>
      </c>
      <c r="J60" s="91"/>
      <c r="K60" s="733"/>
      <c r="L60" s="328"/>
      <c r="M60" s="123"/>
    </row>
    <row r="61" spans="1:13">
      <c r="A61" s="53">
        <v>39</v>
      </c>
      <c r="B61" s="116"/>
      <c r="C61" s="117" t="s">
        <v>961</v>
      </c>
      <c r="D61" s="399" t="s">
        <v>962</v>
      </c>
      <c r="E61" s="663"/>
      <c r="F61" s="719"/>
      <c r="G61" s="119" t="s">
        <v>963</v>
      </c>
      <c r="H61" s="120"/>
      <c r="I61" s="121">
        <v>79</v>
      </c>
      <c r="J61" s="91">
        <f t="shared" ref="J61:J69" si="17">(K61*8%)+K61</f>
        <v>0</v>
      </c>
      <c r="K61" s="733"/>
      <c r="L61" s="159"/>
      <c r="M61" s="123"/>
    </row>
    <row r="62" spans="1:13">
      <c r="A62" s="53">
        <v>40</v>
      </c>
      <c r="B62" s="116"/>
      <c r="C62" s="136"/>
      <c r="D62" s="399" t="s">
        <v>962</v>
      </c>
      <c r="E62" s="663"/>
      <c r="F62" s="719"/>
      <c r="G62" s="119" t="s">
        <v>964</v>
      </c>
      <c r="H62" s="120"/>
      <c r="I62" s="121">
        <v>86</v>
      </c>
      <c r="J62" s="91">
        <f t="shared" si="17"/>
        <v>0</v>
      </c>
      <c r="K62" s="733"/>
      <c r="L62" s="159"/>
      <c r="M62" s="123"/>
    </row>
    <row r="63" spans="1:13">
      <c r="A63" s="53">
        <v>41</v>
      </c>
      <c r="B63" s="116"/>
      <c r="C63" s="305"/>
      <c r="D63" s="399" t="s">
        <v>962</v>
      </c>
      <c r="E63" s="663"/>
      <c r="F63" s="719"/>
      <c r="G63" s="119" t="s">
        <v>965</v>
      </c>
      <c r="H63" s="120"/>
      <c r="I63" s="257">
        <v>20</v>
      </c>
      <c r="J63" s="91">
        <f t="shared" si="17"/>
        <v>0</v>
      </c>
      <c r="K63" s="733"/>
      <c r="L63" s="159"/>
      <c r="M63" s="123"/>
    </row>
    <row r="64" spans="1:13">
      <c r="A64" s="53">
        <v>42</v>
      </c>
      <c r="B64" s="116"/>
      <c r="C64" s="305"/>
      <c r="D64" s="399" t="s">
        <v>962</v>
      </c>
      <c r="E64" s="663"/>
      <c r="F64" s="719"/>
      <c r="G64" s="402" t="s">
        <v>966</v>
      </c>
      <c r="H64" s="403" t="s">
        <v>960</v>
      </c>
      <c r="I64" s="121">
        <v>29</v>
      </c>
      <c r="J64" s="91">
        <f t="shared" si="17"/>
        <v>0</v>
      </c>
      <c r="K64" s="733"/>
      <c r="L64" s="159"/>
      <c r="M64" s="123"/>
    </row>
    <row r="65" spans="1:13">
      <c r="A65" s="53">
        <v>43</v>
      </c>
      <c r="B65" s="116"/>
      <c r="C65" s="305"/>
      <c r="D65" s="399" t="s">
        <v>962</v>
      </c>
      <c r="E65" s="663"/>
      <c r="F65" s="719"/>
      <c r="G65" s="119" t="s">
        <v>967</v>
      </c>
      <c r="H65" s="120"/>
      <c r="I65" s="121">
        <v>39</v>
      </c>
      <c r="J65" s="91">
        <f t="shared" si="17"/>
        <v>0</v>
      </c>
      <c r="K65" s="733"/>
      <c r="L65" s="159"/>
      <c r="M65" s="123"/>
    </row>
    <row r="66" spans="1:13">
      <c r="A66" s="53">
        <v>44</v>
      </c>
      <c r="B66" s="116"/>
      <c r="C66" s="305"/>
      <c r="D66" s="399" t="s">
        <v>962</v>
      </c>
      <c r="E66" s="663"/>
      <c r="F66" s="719"/>
      <c r="G66" s="119" t="s">
        <v>968</v>
      </c>
      <c r="H66" s="120"/>
      <c r="I66" s="121">
        <v>72</v>
      </c>
      <c r="J66" s="91">
        <f t="shared" si="17"/>
        <v>0</v>
      </c>
      <c r="K66" s="733"/>
      <c r="L66" s="159"/>
      <c r="M66" s="123"/>
    </row>
    <row r="67" spans="1:13">
      <c r="A67" s="53">
        <v>45</v>
      </c>
      <c r="B67" s="116"/>
      <c r="C67" s="305"/>
      <c r="D67" s="399" t="s">
        <v>962</v>
      </c>
      <c r="E67" s="663"/>
      <c r="F67" s="719"/>
      <c r="G67" s="119" t="s">
        <v>969</v>
      </c>
      <c r="H67" s="120"/>
      <c r="I67" s="121">
        <v>134</v>
      </c>
      <c r="J67" s="91">
        <f t="shared" si="17"/>
        <v>0</v>
      </c>
      <c r="K67" s="733"/>
      <c r="L67" s="159"/>
      <c r="M67" s="123"/>
    </row>
    <row r="68" spans="1:13">
      <c r="A68" s="53">
        <v>46</v>
      </c>
      <c r="B68" s="116"/>
      <c r="C68" s="305"/>
      <c r="D68" s="399" t="s">
        <v>962</v>
      </c>
      <c r="E68" s="663"/>
      <c r="F68" s="719"/>
      <c r="G68" s="119" t="s">
        <v>970</v>
      </c>
      <c r="H68" s="120"/>
      <c r="I68" s="121">
        <v>83</v>
      </c>
      <c r="J68" s="91">
        <f t="shared" si="17"/>
        <v>0</v>
      </c>
      <c r="K68" s="733"/>
      <c r="L68" s="159"/>
      <c r="M68" s="123"/>
    </row>
    <row r="69" spans="1:13">
      <c r="A69" s="53">
        <v>47</v>
      </c>
      <c r="B69" s="112"/>
      <c r="C69" s="125"/>
      <c r="D69" s="400" t="s">
        <v>962</v>
      </c>
      <c r="E69" s="667"/>
      <c r="F69" s="726"/>
      <c r="G69" s="79" t="s">
        <v>971</v>
      </c>
      <c r="H69" s="80"/>
      <c r="I69" s="216">
        <v>25</v>
      </c>
      <c r="J69" s="106">
        <f t="shared" si="17"/>
        <v>0</v>
      </c>
      <c r="K69" s="734"/>
      <c r="L69" s="158"/>
      <c r="M69" s="115"/>
    </row>
    <row r="70" spans="1:13">
      <c r="A70" s="53">
        <v>48</v>
      </c>
      <c r="B70" s="116" t="s">
        <v>972</v>
      </c>
      <c r="C70" s="135" t="s">
        <v>973</v>
      </c>
      <c r="D70" s="234" t="s">
        <v>974</v>
      </c>
      <c r="E70" s="665"/>
      <c r="F70" s="760"/>
      <c r="G70" s="96" t="s">
        <v>975</v>
      </c>
      <c r="H70" s="97" t="s">
        <v>142</v>
      </c>
      <c r="I70" s="98">
        <v>20</v>
      </c>
      <c r="J70" s="91"/>
      <c r="K70" s="739"/>
      <c r="L70" s="156">
        <f>K70/100</f>
        <v>0</v>
      </c>
      <c r="M70" s="100">
        <f>(I70*K70)</f>
        <v>0</v>
      </c>
    </row>
    <row r="71" spans="1:13">
      <c r="B71" s="116"/>
      <c r="C71" s="239" t="s">
        <v>976</v>
      </c>
      <c r="D71" s="185" t="s">
        <v>977</v>
      </c>
      <c r="E71" s="663"/>
      <c r="F71" s="761"/>
      <c r="G71" s="119"/>
      <c r="H71" s="120"/>
      <c r="I71" s="121"/>
      <c r="J71" s="91"/>
      <c r="K71" s="738"/>
      <c r="L71" s="159"/>
      <c r="M71" s="123"/>
    </row>
    <row r="72" spans="1:13">
      <c r="A72" s="53">
        <v>49</v>
      </c>
      <c r="B72" s="76" t="s">
        <v>978</v>
      </c>
      <c r="C72" s="131" t="s">
        <v>979</v>
      </c>
      <c r="D72" s="381" t="s">
        <v>980</v>
      </c>
      <c r="E72" s="665"/>
      <c r="F72" s="718"/>
      <c r="G72" s="96" t="s">
        <v>981</v>
      </c>
      <c r="H72" s="97" t="s">
        <v>142</v>
      </c>
      <c r="I72" s="98">
        <v>75</v>
      </c>
      <c r="J72" s="91">
        <f t="shared" ref="J72:J84" si="18">(K72*8%)+K72</f>
        <v>0</v>
      </c>
      <c r="K72" s="732"/>
      <c r="L72" s="156">
        <f>K72/240</f>
        <v>0</v>
      </c>
      <c r="M72" s="100">
        <f>I72*K72</f>
        <v>0</v>
      </c>
    </row>
    <row r="73" spans="1:13">
      <c r="B73" s="116"/>
      <c r="C73" s="153" t="s">
        <v>982</v>
      </c>
      <c r="D73" s="126"/>
      <c r="E73" s="663"/>
      <c r="F73" s="719"/>
      <c r="G73" s="119"/>
      <c r="H73" s="120"/>
      <c r="I73" s="121"/>
      <c r="J73" s="91">
        <f t="shared" si="18"/>
        <v>0</v>
      </c>
      <c r="K73" s="734"/>
      <c r="L73" s="159"/>
      <c r="M73" s="123"/>
    </row>
    <row r="74" spans="1:13">
      <c r="A74" s="53">
        <v>50</v>
      </c>
      <c r="B74" s="404" t="s">
        <v>983</v>
      </c>
      <c r="C74" s="405" t="s">
        <v>984</v>
      </c>
      <c r="D74" s="193" t="s">
        <v>985</v>
      </c>
      <c r="E74" s="762"/>
      <c r="F74" s="763"/>
      <c r="G74" s="368" t="s">
        <v>986</v>
      </c>
      <c r="H74" s="404" t="s">
        <v>142</v>
      </c>
      <c r="I74" s="406">
        <v>20</v>
      </c>
      <c r="J74" s="127">
        <f t="shared" si="18"/>
        <v>0</v>
      </c>
      <c r="K74" s="771"/>
      <c r="L74" s="407">
        <f>K74/175</f>
        <v>0</v>
      </c>
      <c r="M74" s="408">
        <f>I74*K74</f>
        <v>0</v>
      </c>
    </row>
    <row r="75" spans="1:13">
      <c r="B75" s="116" t="s">
        <v>987</v>
      </c>
      <c r="C75" s="305" t="s">
        <v>988</v>
      </c>
      <c r="D75" s="185" t="s">
        <v>989</v>
      </c>
      <c r="E75" s="663"/>
      <c r="F75" s="719"/>
      <c r="G75" s="119" t="s">
        <v>990</v>
      </c>
      <c r="H75" s="120" t="s">
        <v>142</v>
      </c>
      <c r="I75" s="121">
        <f>SUM(I77:I78)</f>
        <v>40</v>
      </c>
      <c r="J75" s="187">
        <f t="shared" si="18"/>
        <v>0</v>
      </c>
      <c r="K75" s="732"/>
      <c r="L75" s="159"/>
      <c r="M75" s="123"/>
    </row>
    <row r="76" spans="1:13">
      <c r="B76" s="116"/>
      <c r="C76" s="305"/>
      <c r="D76" s="130"/>
      <c r="E76" s="663"/>
      <c r="F76" s="719"/>
      <c r="G76" s="119" t="s">
        <v>167</v>
      </c>
      <c r="H76" s="120"/>
      <c r="I76" s="121"/>
      <c r="J76" s="91">
        <f t="shared" si="18"/>
        <v>0</v>
      </c>
      <c r="K76" s="733"/>
      <c r="L76" s="159"/>
      <c r="M76" s="123"/>
    </row>
    <row r="77" spans="1:13">
      <c r="A77" s="53">
        <v>51</v>
      </c>
      <c r="B77" s="116"/>
      <c r="C77" s="136"/>
      <c r="D77" s="399" t="s">
        <v>991</v>
      </c>
      <c r="E77" s="764"/>
      <c r="F77" s="719"/>
      <c r="G77" s="119" t="s">
        <v>992</v>
      </c>
      <c r="H77" s="120"/>
      <c r="I77" s="121">
        <v>20</v>
      </c>
      <c r="J77" s="91">
        <f t="shared" si="18"/>
        <v>0</v>
      </c>
      <c r="K77" s="733"/>
      <c r="L77" s="159">
        <f t="shared" ref="L77:L78" si="19">K77/384</f>
        <v>0</v>
      </c>
      <c r="M77" s="123">
        <f t="shared" ref="M77:M79" si="20">I77*K77</f>
        <v>0</v>
      </c>
    </row>
    <row r="78" spans="1:13">
      <c r="A78" s="53">
        <v>52</v>
      </c>
      <c r="B78" s="116"/>
      <c r="C78" s="305"/>
      <c r="D78" s="400" t="s">
        <v>991</v>
      </c>
      <c r="E78" s="764"/>
      <c r="F78" s="719"/>
      <c r="G78" s="119" t="s">
        <v>993</v>
      </c>
      <c r="H78" s="120"/>
      <c r="I78" s="121">
        <v>20</v>
      </c>
      <c r="J78" s="91">
        <f t="shared" si="18"/>
        <v>0</v>
      </c>
      <c r="K78" s="734"/>
      <c r="L78" s="159">
        <f t="shared" si="19"/>
        <v>0</v>
      </c>
      <c r="M78" s="123">
        <f t="shared" si="20"/>
        <v>0</v>
      </c>
    </row>
    <row r="79" spans="1:13">
      <c r="B79" s="76" t="s">
        <v>994</v>
      </c>
      <c r="C79" s="409" t="s">
        <v>995</v>
      </c>
      <c r="D79" s="234" t="s">
        <v>996</v>
      </c>
      <c r="E79" s="665"/>
      <c r="F79" s="718"/>
      <c r="G79" s="96" t="s">
        <v>997</v>
      </c>
      <c r="H79" s="97" t="s">
        <v>142</v>
      </c>
      <c r="I79" s="98">
        <v>20</v>
      </c>
      <c r="J79" s="91">
        <f t="shared" si="18"/>
        <v>0</v>
      </c>
      <c r="K79" s="738"/>
      <c r="L79" s="156">
        <f>K79/80</f>
        <v>0</v>
      </c>
      <c r="M79" s="100">
        <f t="shared" si="20"/>
        <v>0</v>
      </c>
    </row>
    <row r="80" spans="1:13">
      <c r="A80" s="53">
        <v>53</v>
      </c>
      <c r="B80" s="112"/>
      <c r="C80" s="134" t="s">
        <v>998</v>
      </c>
      <c r="D80" s="126"/>
      <c r="E80" s="664"/>
      <c r="F80" s="726"/>
      <c r="G80" s="79" t="s">
        <v>999</v>
      </c>
      <c r="H80" s="80"/>
      <c r="I80" s="81" t="s">
        <v>1000</v>
      </c>
      <c r="J80" s="91">
        <f t="shared" si="18"/>
        <v>0</v>
      </c>
      <c r="K80" s="738"/>
      <c r="L80" s="158"/>
      <c r="M80" s="115"/>
    </row>
    <row r="81" spans="1:13">
      <c r="A81" s="53">
        <v>54</v>
      </c>
      <c r="B81" s="76" t="s">
        <v>1001</v>
      </c>
      <c r="C81" s="131" t="s">
        <v>1002</v>
      </c>
      <c r="D81" s="185" t="s">
        <v>1003</v>
      </c>
      <c r="E81" s="665"/>
      <c r="F81" s="718"/>
      <c r="G81" s="96" t="s">
        <v>1004</v>
      </c>
      <c r="H81" s="97" t="s">
        <v>142</v>
      </c>
      <c r="I81" s="98">
        <v>8</v>
      </c>
      <c r="J81" s="91">
        <f t="shared" si="18"/>
        <v>0</v>
      </c>
      <c r="K81" s="732"/>
      <c r="L81" s="156">
        <f>K81/120</f>
        <v>0</v>
      </c>
      <c r="M81" s="100">
        <f>I81*K81</f>
        <v>0</v>
      </c>
    </row>
    <row r="82" spans="1:13">
      <c r="B82" s="112"/>
      <c r="C82" s="134" t="s">
        <v>1005</v>
      </c>
      <c r="D82" s="126"/>
      <c r="E82" s="664"/>
      <c r="F82" s="726"/>
      <c r="G82" s="79"/>
      <c r="H82" s="80"/>
      <c r="I82" s="81"/>
      <c r="J82" s="91">
        <f t="shared" si="18"/>
        <v>0</v>
      </c>
      <c r="K82" s="734"/>
      <c r="L82" s="158"/>
      <c r="M82" s="115"/>
    </row>
    <row r="83" spans="1:13">
      <c r="A83" s="53">
        <v>55</v>
      </c>
      <c r="B83" s="76" t="s">
        <v>1006</v>
      </c>
      <c r="C83" s="131" t="s">
        <v>1007</v>
      </c>
      <c r="D83" s="185" t="s">
        <v>1003</v>
      </c>
      <c r="E83" s="665"/>
      <c r="F83" s="718"/>
      <c r="G83" s="96" t="s">
        <v>1008</v>
      </c>
      <c r="H83" s="97" t="s">
        <v>142</v>
      </c>
      <c r="I83" s="98">
        <v>15</v>
      </c>
      <c r="J83" s="91">
        <f t="shared" si="18"/>
        <v>0</v>
      </c>
      <c r="K83" s="738"/>
      <c r="L83" s="156">
        <f>K83/120</f>
        <v>0</v>
      </c>
      <c r="M83" s="100">
        <f>I83*K83</f>
        <v>0</v>
      </c>
    </row>
    <row r="84" spans="1:13">
      <c r="B84" s="116"/>
      <c r="C84" s="139" t="s">
        <v>1005</v>
      </c>
      <c r="D84" s="130"/>
      <c r="E84" s="667"/>
      <c r="F84" s="719"/>
      <c r="G84" s="119"/>
      <c r="H84" s="120"/>
      <c r="I84" s="121"/>
      <c r="J84" s="106">
        <f t="shared" si="18"/>
        <v>0</v>
      </c>
      <c r="K84" s="738"/>
      <c r="L84" s="301"/>
      <c r="M84" s="123"/>
    </row>
    <row r="85" spans="1:13">
      <c r="B85" s="241" t="s">
        <v>1009</v>
      </c>
      <c r="C85" s="138" t="s">
        <v>1010</v>
      </c>
      <c r="D85" s="381" t="s">
        <v>1011</v>
      </c>
      <c r="E85" s="660"/>
      <c r="F85" s="765"/>
      <c r="G85" s="168" t="s">
        <v>1012</v>
      </c>
      <c r="H85" s="296" t="s">
        <v>142</v>
      </c>
      <c r="I85" s="228">
        <v>20</v>
      </c>
      <c r="J85" s="91"/>
      <c r="K85" s="739"/>
      <c r="L85" s="169">
        <f>K85/126</f>
        <v>0</v>
      </c>
      <c r="M85" s="100">
        <f>K85*I85</f>
        <v>0</v>
      </c>
    </row>
    <row r="86" spans="1:13">
      <c r="A86" s="53">
        <v>56</v>
      </c>
      <c r="B86" s="116"/>
      <c r="C86" s="239" t="s">
        <v>1013</v>
      </c>
      <c r="D86" s="179"/>
      <c r="E86" s="669"/>
      <c r="F86" s="766"/>
      <c r="G86" s="199" t="s">
        <v>1014</v>
      </c>
      <c r="H86" s="120"/>
      <c r="I86" s="121"/>
      <c r="J86" s="91"/>
      <c r="K86" s="738"/>
      <c r="L86" s="200"/>
      <c r="M86" s="123"/>
    </row>
    <row r="87" spans="1:13">
      <c r="A87" s="53">
        <v>57</v>
      </c>
      <c r="B87" s="112"/>
      <c r="C87" s="213"/>
      <c r="D87" s="376"/>
      <c r="E87" s="652"/>
      <c r="F87" s="767"/>
      <c r="G87" s="214" t="s">
        <v>1015</v>
      </c>
      <c r="H87" s="80"/>
      <c r="I87" s="81"/>
      <c r="J87" s="127"/>
      <c r="K87" s="740"/>
      <c r="L87" s="178"/>
      <c r="M87" s="115"/>
    </row>
    <row r="88" spans="1:13">
      <c r="A88" s="53">
        <v>58</v>
      </c>
      <c r="B88" s="116" t="s">
        <v>1016</v>
      </c>
      <c r="C88" s="153" t="s">
        <v>1017</v>
      </c>
      <c r="D88" s="179" t="s">
        <v>1018</v>
      </c>
      <c r="E88" s="669"/>
      <c r="F88" s="766"/>
      <c r="G88" s="119" t="s">
        <v>1019</v>
      </c>
      <c r="H88" s="120" t="s">
        <v>142</v>
      </c>
      <c r="I88" s="121">
        <v>20</v>
      </c>
      <c r="J88" s="82">
        <f t="shared" ref="J88:J132" si="21">(K88*8%)+K88</f>
        <v>0</v>
      </c>
      <c r="K88" s="733"/>
      <c r="L88" s="328">
        <f t="shared" ref="L88:L89" si="22">K88/300</f>
        <v>0</v>
      </c>
      <c r="M88" s="123">
        <f t="shared" ref="M88:M89" si="23">I88*K88</f>
        <v>0</v>
      </c>
    </row>
    <row r="89" spans="1:13">
      <c r="A89" s="53">
        <v>59</v>
      </c>
      <c r="B89" s="116"/>
      <c r="C89" s="239" t="s">
        <v>1020</v>
      </c>
      <c r="D89" s="185" t="s">
        <v>1018</v>
      </c>
      <c r="E89" s="669"/>
      <c r="F89" s="766"/>
      <c r="G89" s="119" t="s">
        <v>1021</v>
      </c>
      <c r="H89" s="120" t="s">
        <v>142</v>
      </c>
      <c r="I89" s="121">
        <v>5</v>
      </c>
      <c r="J89" s="91">
        <f t="shared" si="21"/>
        <v>0</v>
      </c>
      <c r="K89" s="733"/>
      <c r="L89" s="159">
        <f t="shared" si="22"/>
        <v>0</v>
      </c>
      <c r="M89" s="123">
        <f t="shared" si="23"/>
        <v>0</v>
      </c>
    </row>
    <row r="90" spans="1:13">
      <c r="B90" s="116"/>
      <c r="C90" s="129"/>
      <c r="D90" s="244"/>
      <c r="E90" s="652"/>
      <c r="F90" s="766"/>
      <c r="G90" s="119" t="s">
        <v>167</v>
      </c>
      <c r="H90" s="120"/>
      <c r="I90" s="121"/>
      <c r="J90" s="91">
        <f t="shared" si="21"/>
        <v>0</v>
      </c>
      <c r="K90" s="734"/>
      <c r="L90" s="159"/>
      <c r="M90" s="123"/>
    </row>
    <row r="91" spans="1:13">
      <c r="A91" s="53">
        <v>60</v>
      </c>
      <c r="B91" s="76" t="s">
        <v>1022</v>
      </c>
      <c r="C91" s="131" t="s">
        <v>1023</v>
      </c>
      <c r="D91" s="234" t="s">
        <v>1024</v>
      </c>
      <c r="E91" s="661"/>
      <c r="F91" s="718"/>
      <c r="G91" s="96" t="s">
        <v>1025</v>
      </c>
      <c r="H91" s="97" t="s">
        <v>142</v>
      </c>
      <c r="I91" s="98">
        <v>20</v>
      </c>
      <c r="J91" s="91">
        <f t="shared" si="21"/>
        <v>0</v>
      </c>
      <c r="K91" s="738"/>
      <c r="L91" s="156">
        <f>K91/150</f>
        <v>0</v>
      </c>
      <c r="M91" s="100">
        <f>I91*K91</f>
        <v>0</v>
      </c>
    </row>
    <row r="92" spans="1:13">
      <c r="B92" s="112"/>
      <c r="C92" s="213" t="s">
        <v>1026</v>
      </c>
      <c r="D92" s="126"/>
      <c r="E92" s="664"/>
      <c r="F92" s="726"/>
      <c r="G92" s="79" t="s">
        <v>167</v>
      </c>
      <c r="H92" s="80"/>
      <c r="I92" s="81"/>
      <c r="J92" s="91">
        <f t="shared" si="21"/>
        <v>0</v>
      </c>
      <c r="K92" s="738"/>
      <c r="L92" s="158"/>
      <c r="M92" s="115"/>
    </row>
    <row r="93" spans="1:13">
      <c r="A93" s="53">
        <v>61</v>
      </c>
      <c r="B93" s="930" t="s">
        <v>1027</v>
      </c>
      <c r="C93" s="135" t="s">
        <v>1028</v>
      </c>
      <c r="D93" s="185" t="s">
        <v>1029</v>
      </c>
      <c r="E93" s="663"/>
      <c r="F93" s="719"/>
      <c r="G93" s="383" t="s">
        <v>1030</v>
      </c>
      <c r="H93" s="120" t="s">
        <v>142</v>
      </c>
      <c r="I93" s="121">
        <v>5</v>
      </c>
      <c r="J93" s="91">
        <f t="shared" si="21"/>
        <v>0</v>
      </c>
      <c r="K93" s="732"/>
      <c r="L93" s="159">
        <f>K93/200</f>
        <v>0</v>
      </c>
      <c r="M93" s="123">
        <f>I93*K93</f>
        <v>0</v>
      </c>
    </row>
    <row r="94" spans="1:13">
      <c r="B94" s="928"/>
      <c r="C94" s="153" t="s">
        <v>1031</v>
      </c>
      <c r="D94" s="130"/>
      <c r="E94" s="663"/>
      <c r="F94" s="719"/>
      <c r="G94" s="119" t="s">
        <v>1032</v>
      </c>
      <c r="H94" s="120"/>
      <c r="I94" s="121"/>
      <c r="J94" s="91">
        <f t="shared" si="21"/>
        <v>0</v>
      </c>
      <c r="K94" s="734"/>
      <c r="L94" s="159" t="s">
        <v>1033</v>
      </c>
      <c r="M94" s="123"/>
    </row>
    <row r="95" spans="1:13">
      <c r="A95" s="53">
        <v>62</v>
      </c>
      <c r="B95" s="76" t="s">
        <v>1034</v>
      </c>
      <c r="C95" s="131" t="s">
        <v>1035</v>
      </c>
      <c r="D95" s="234" t="s">
        <v>1036</v>
      </c>
      <c r="E95" s="665"/>
      <c r="F95" s="718"/>
      <c r="G95" s="96" t="s">
        <v>1037</v>
      </c>
      <c r="H95" s="97" t="s">
        <v>142</v>
      </c>
      <c r="I95" s="98">
        <v>25</v>
      </c>
      <c r="J95" s="91">
        <f t="shared" si="21"/>
        <v>0</v>
      </c>
      <c r="K95" s="738"/>
      <c r="L95" s="156">
        <f>K95/125</f>
        <v>0</v>
      </c>
      <c r="M95" s="100">
        <f>K95*I95</f>
        <v>0</v>
      </c>
    </row>
    <row r="96" spans="1:13">
      <c r="B96" s="112"/>
      <c r="C96" s="134" t="s">
        <v>1038</v>
      </c>
      <c r="D96" s="126"/>
      <c r="E96" s="664"/>
      <c r="F96" s="726"/>
      <c r="G96" s="79" t="s">
        <v>1039</v>
      </c>
      <c r="H96" s="80"/>
      <c r="I96" s="81"/>
      <c r="J96" s="91">
        <f t="shared" si="21"/>
        <v>0</v>
      </c>
      <c r="K96" s="738"/>
      <c r="L96" s="158"/>
      <c r="M96" s="115"/>
    </row>
    <row r="97" spans="1:13">
      <c r="A97" s="53">
        <v>63</v>
      </c>
      <c r="B97" s="76" t="s">
        <v>1040</v>
      </c>
      <c r="C97" s="147" t="s">
        <v>1041</v>
      </c>
      <c r="D97" s="185" t="s">
        <v>1042</v>
      </c>
      <c r="E97" s="665"/>
      <c r="F97" s="718"/>
      <c r="G97" s="96" t="s">
        <v>1043</v>
      </c>
      <c r="H97" s="97" t="s">
        <v>142</v>
      </c>
      <c r="I97" s="98">
        <v>55</v>
      </c>
      <c r="J97" s="91">
        <f t="shared" si="21"/>
        <v>0</v>
      </c>
      <c r="K97" s="732"/>
      <c r="L97" s="156">
        <f>K97/96</f>
        <v>0</v>
      </c>
      <c r="M97" s="100">
        <f>K97*I97</f>
        <v>0</v>
      </c>
    </row>
    <row r="98" spans="1:13">
      <c r="B98" s="112"/>
      <c r="C98" s="157"/>
      <c r="D98" s="126"/>
      <c r="E98" s="664"/>
      <c r="F98" s="726"/>
      <c r="G98" s="79" t="s">
        <v>167</v>
      </c>
      <c r="H98" s="80"/>
      <c r="I98" s="81"/>
      <c r="J98" s="91">
        <f t="shared" si="21"/>
        <v>0</v>
      </c>
      <c r="K98" s="734"/>
      <c r="L98" s="158"/>
      <c r="M98" s="115"/>
    </row>
    <row r="99" spans="1:13">
      <c r="A99" s="53">
        <v>64</v>
      </c>
      <c r="B99" s="116" t="s">
        <v>1044</v>
      </c>
      <c r="C99" s="147" t="s">
        <v>1045</v>
      </c>
      <c r="D99" s="185" t="s">
        <v>1046</v>
      </c>
      <c r="E99" s="665"/>
      <c r="F99" s="719"/>
      <c r="G99" s="119" t="s">
        <v>1047</v>
      </c>
      <c r="H99" s="120" t="s">
        <v>142</v>
      </c>
      <c r="I99" s="121">
        <v>75</v>
      </c>
      <c r="J99" s="91">
        <f t="shared" si="21"/>
        <v>0</v>
      </c>
      <c r="K99" s="738"/>
      <c r="L99" s="159">
        <f>K99/48</f>
        <v>0</v>
      </c>
      <c r="M99" s="123">
        <f>I99*K99</f>
        <v>0</v>
      </c>
    </row>
    <row r="100" spans="1:13">
      <c r="B100" s="116"/>
      <c r="C100" s="136"/>
      <c r="D100" s="185" t="s">
        <v>1048</v>
      </c>
      <c r="E100" s="663"/>
      <c r="F100" s="719"/>
      <c r="G100" s="119" t="s">
        <v>167</v>
      </c>
      <c r="H100" s="120"/>
      <c r="I100" s="121"/>
      <c r="J100" s="91">
        <f t="shared" si="21"/>
        <v>0</v>
      </c>
      <c r="K100" s="738"/>
      <c r="L100" s="159"/>
      <c r="M100" s="123"/>
    </row>
    <row r="101" spans="1:13">
      <c r="A101" s="53">
        <v>65</v>
      </c>
      <c r="B101" s="85" t="s">
        <v>1049</v>
      </c>
      <c r="C101" s="160" t="s">
        <v>1050</v>
      </c>
      <c r="D101" s="220" t="s">
        <v>1051</v>
      </c>
      <c r="E101" s="654"/>
      <c r="F101" s="759"/>
      <c r="G101" s="88" t="s">
        <v>1052</v>
      </c>
      <c r="H101" s="89" t="s">
        <v>142</v>
      </c>
      <c r="I101" s="410">
        <v>20</v>
      </c>
      <c r="J101" s="91">
        <f t="shared" si="21"/>
        <v>0</v>
      </c>
      <c r="K101" s="744"/>
      <c r="L101" s="161">
        <f t="shared" ref="L101:L102" si="24">K101/48</f>
        <v>0</v>
      </c>
      <c r="M101" s="93">
        <f t="shared" ref="M101:M103" si="25">I101*K101</f>
        <v>0</v>
      </c>
    </row>
    <row r="102" spans="1:13">
      <c r="A102" s="53">
        <v>66</v>
      </c>
      <c r="B102" s="85" t="s">
        <v>1049</v>
      </c>
      <c r="C102" s="160" t="s">
        <v>1053</v>
      </c>
      <c r="D102" s="217" t="s">
        <v>1051</v>
      </c>
      <c r="E102" s="654"/>
      <c r="F102" s="759"/>
      <c r="G102" s="88" t="s">
        <v>1054</v>
      </c>
      <c r="H102" s="89" t="s">
        <v>142</v>
      </c>
      <c r="I102" s="90">
        <v>70</v>
      </c>
      <c r="J102" s="91">
        <f t="shared" si="21"/>
        <v>0</v>
      </c>
      <c r="K102" s="738"/>
      <c r="L102" s="161">
        <f t="shared" si="24"/>
        <v>0</v>
      </c>
      <c r="M102" s="93">
        <f t="shared" si="25"/>
        <v>0</v>
      </c>
    </row>
    <row r="103" spans="1:13">
      <c r="A103" s="53">
        <v>67</v>
      </c>
      <c r="B103" s="76" t="s">
        <v>1055</v>
      </c>
      <c r="C103" s="131" t="s">
        <v>1056</v>
      </c>
      <c r="D103" s="185" t="s">
        <v>1057</v>
      </c>
      <c r="E103" s="665"/>
      <c r="F103" s="718"/>
      <c r="G103" s="96" t="s">
        <v>1058</v>
      </c>
      <c r="H103" s="97" t="s">
        <v>142</v>
      </c>
      <c r="I103" s="98">
        <v>50</v>
      </c>
      <c r="J103" s="91">
        <f t="shared" si="21"/>
        <v>0</v>
      </c>
      <c r="K103" s="732"/>
      <c r="L103" s="156">
        <f>K103/84</f>
        <v>0</v>
      </c>
      <c r="M103" s="100">
        <f t="shared" si="25"/>
        <v>0</v>
      </c>
    </row>
    <row r="104" spans="1:13">
      <c r="B104" s="112"/>
      <c r="C104" s="213" t="s">
        <v>1059</v>
      </c>
      <c r="D104" s="193"/>
      <c r="E104" s="664"/>
      <c r="F104" s="726"/>
      <c r="G104" s="79"/>
      <c r="H104" s="80"/>
      <c r="I104" s="81"/>
      <c r="J104" s="91">
        <f t="shared" si="21"/>
        <v>0</v>
      </c>
      <c r="K104" s="734"/>
      <c r="L104" s="158" t="s">
        <v>1060</v>
      </c>
      <c r="M104" s="293"/>
    </row>
    <row r="105" spans="1:13">
      <c r="A105" s="53">
        <v>68</v>
      </c>
      <c r="B105" s="116" t="s">
        <v>1061</v>
      </c>
      <c r="C105" s="117" t="s">
        <v>1062</v>
      </c>
      <c r="D105" s="179" t="s">
        <v>1063</v>
      </c>
      <c r="E105" s="663"/>
      <c r="F105" s="719"/>
      <c r="G105" s="119" t="s">
        <v>1064</v>
      </c>
      <c r="H105" s="120" t="s">
        <v>142</v>
      </c>
      <c r="I105" s="121">
        <v>25</v>
      </c>
      <c r="J105" s="91">
        <f t="shared" si="21"/>
        <v>0</v>
      </c>
      <c r="K105" s="738"/>
      <c r="L105" s="159">
        <f>K105/408</f>
        <v>0</v>
      </c>
      <c r="M105" s="123">
        <f t="shared" ref="M105:M106" si="26">I105*K105</f>
        <v>0</v>
      </c>
    </row>
    <row r="106" spans="1:13">
      <c r="B106" s="116"/>
      <c r="C106" s="139" t="s">
        <v>1065</v>
      </c>
      <c r="D106" s="185" t="s">
        <v>1066</v>
      </c>
      <c r="E106" s="663"/>
      <c r="F106" s="719"/>
      <c r="G106" s="119" t="s">
        <v>1067</v>
      </c>
      <c r="H106" s="120"/>
      <c r="I106" s="121">
        <v>75</v>
      </c>
      <c r="J106" s="91">
        <f t="shared" si="21"/>
        <v>0</v>
      </c>
      <c r="K106" s="738"/>
      <c r="L106" s="159">
        <f>K106/216</f>
        <v>0</v>
      </c>
      <c r="M106" s="123">
        <f t="shared" si="26"/>
        <v>0</v>
      </c>
    </row>
    <row r="107" spans="1:13">
      <c r="A107" s="53">
        <v>69</v>
      </c>
      <c r="B107" s="76" t="s">
        <v>1068</v>
      </c>
      <c r="C107" s="138" t="s">
        <v>1069</v>
      </c>
      <c r="D107" s="234" t="s">
        <v>1070</v>
      </c>
      <c r="E107" s="665"/>
      <c r="F107" s="718"/>
      <c r="G107" s="96" t="s">
        <v>1071</v>
      </c>
      <c r="H107" s="97" t="s">
        <v>142</v>
      </c>
      <c r="I107" s="98">
        <v>35</v>
      </c>
      <c r="J107" s="91">
        <f t="shared" si="21"/>
        <v>0</v>
      </c>
      <c r="K107" s="744"/>
      <c r="L107" s="156">
        <f>K107/90</f>
        <v>0</v>
      </c>
      <c r="M107" s="100">
        <f>K107*I107</f>
        <v>0</v>
      </c>
    </row>
    <row r="108" spans="1:13">
      <c r="B108" s="76" t="s">
        <v>1072</v>
      </c>
      <c r="C108" s="411" t="s">
        <v>1073</v>
      </c>
      <c r="D108" s="302"/>
      <c r="E108" s="665"/>
      <c r="F108" s="718"/>
      <c r="G108" s="96" t="s">
        <v>1074</v>
      </c>
      <c r="H108" s="97" t="s">
        <v>142</v>
      </c>
      <c r="I108" s="98">
        <f>SUM(I109:I110)</f>
        <v>6</v>
      </c>
      <c r="J108" s="91">
        <f t="shared" si="21"/>
        <v>0</v>
      </c>
      <c r="K108" s="738"/>
      <c r="L108" s="156">
        <f>K108/60</f>
        <v>0</v>
      </c>
      <c r="M108" s="100">
        <f>I108*K108</f>
        <v>0</v>
      </c>
    </row>
    <row r="109" spans="1:13">
      <c r="A109" s="53">
        <v>70</v>
      </c>
      <c r="B109" s="116"/>
      <c r="C109" s="136"/>
      <c r="D109" s="185" t="s">
        <v>1075</v>
      </c>
      <c r="E109" s="663"/>
      <c r="F109" s="719"/>
      <c r="G109" s="119" t="s">
        <v>1076</v>
      </c>
      <c r="H109" s="120"/>
      <c r="I109" s="121">
        <v>3</v>
      </c>
      <c r="J109" s="91">
        <f t="shared" si="21"/>
        <v>0</v>
      </c>
      <c r="K109" s="738"/>
      <c r="L109" s="159"/>
      <c r="M109" s="123"/>
    </row>
    <row r="110" spans="1:13">
      <c r="A110" s="53">
        <v>71</v>
      </c>
      <c r="B110" s="116"/>
      <c r="C110" s="136"/>
      <c r="D110" s="185" t="s">
        <v>1075</v>
      </c>
      <c r="E110" s="663"/>
      <c r="F110" s="719"/>
      <c r="G110" s="119" t="s">
        <v>1077</v>
      </c>
      <c r="H110" s="120"/>
      <c r="I110" s="121">
        <v>3</v>
      </c>
      <c r="J110" s="91">
        <f t="shared" si="21"/>
        <v>0</v>
      </c>
      <c r="K110" s="738"/>
      <c r="L110" s="159"/>
      <c r="M110" s="123"/>
    </row>
    <row r="111" spans="1:13">
      <c r="A111" s="53">
        <v>72</v>
      </c>
      <c r="B111" s="76" t="s">
        <v>1078</v>
      </c>
      <c r="C111" s="94" t="s">
        <v>1079</v>
      </c>
      <c r="D111" s="109" t="s">
        <v>1080</v>
      </c>
      <c r="E111" s="665"/>
      <c r="F111" s="718"/>
      <c r="G111" s="96" t="s">
        <v>1081</v>
      </c>
      <c r="H111" s="97" t="s">
        <v>142</v>
      </c>
      <c r="I111" s="98">
        <v>2</v>
      </c>
      <c r="J111" s="91">
        <f t="shared" si="21"/>
        <v>0</v>
      </c>
      <c r="K111" s="732"/>
      <c r="L111" s="156">
        <f>K111/200</f>
        <v>0</v>
      </c>
      <c r="M111" s="100">
        <f>I111*K111</f>
        <v>0</v>
      </c>
    </row>
    <row r="112" spans="1:13">
      <c r="B112" s="112"/>
      <c r="C112" s="333"/>
      <c r="D112" s="126"/>
      <c r="E112" s="664"/>
      <c r="F112" s="726"/>
      <c r="G112" s="79"/>
      <c r="H112" s="80"/>
      <c r="I112" s="81"/>
      <c r="J112" s="91">
        <f t="shared" si="21"/>
        <v>0</v>
      </c>
      <c r="K112" s="734"/>
      <c r="L112" s="158"/>
      <c r="M112" s="293"/>
    </row>
    <row r="113" spans="1:13">
      <c r="A113" s="53">
        <v>73</v>
      </c>
      <c r="B113" s="116" t="s">
        <v>1082</v>
      </c>
      <c r="C113" s="117" t="s">
        <v>1083</v>
      </c>
      <c r="D113" s="185" t="s">
        <v>1084</v>
      </c>
      <c r="E113" s="663"/>
      <c r="F113" s="719"/>
      <c r="G113" s="199" t="s">
        <v>1085</v>
      </c>
      <c r="H113" s="120" t="s">
        <v>142</v>
      </c>
      <c r="I113" s="121">
        <v>60</v>
      </c>
      <c r="J113" s="91">
        <f t="shared" si="21"/>
        <v>0</v>
      </c>
      <c r="K113" s="738"/>
      <c r="L113" s="159">
        <f>K113/160</f>
        <v>0</v>
      </c>
      <c r="M113" s="143">
        <f>I113*K113</f>
        <v>0</v>
      </c>
    </row>
    <row r="114" spans="1:13">
      <c r="B114" s="116"/>
      <c r="C114" s="170" t="s">
        <v>1086</v>
      </c>
      <c r="D114" s="130"/>
      <c r="E114" s="663"/>
      <c r="F114" s="719"/>
      <c r="G114" s="119" t="s">
        <v>167</v>
      </c>
      <c r="H114" s="120"/>
      <c r="I114" s="121"/>
      <c r="J114" s="91">
        <f t="shared" si="21"/>
        <v>0</v>
      </c>
      <c r="K114" s="738"/>
      <c r="L114" s="159"/>
      <c r="M114" s="155"/>
    </row>
    <row r="115" spans="1:13">
      <c r="A115" s="53">
        <v>74</v>
      </c>
      <c r="B115" s="76" t="s">
        <v>1087</v>
      </c>
      <c r="C115" s="132" t="s">
        <v>1088</v>
      </c>
      <c r="D115" s="234" t="s">
        <v>1089</v>
      </c>
      <c r="E115" s="665"/>
      <c r="F115" s="718"/>
      <c r="G115" s="96" t="s">
        <v>1090</v>
      </c>
      <c r="H115" s="97" t="s">
        <v>142</v>
      </c>
      <c r="I115" s="98">
        <v>40</v>
      </c>
      <c r="J115" s="91">
        <f t="shared" si="21"/>
        <v>0</v>
      </c>
      <c r="K115" s="732"/>
      <c r="L115" s="156">
        <f>K115/104</f>
        <v>0</v>
      </c>
      <c r="M115" s="100">
        <f>(I115/16)*K115</f>
        <v>0</v>
      </c>
    </row>
    <row r="116" spans="1:13">
      <c r="B116" s="112"/>
      <c r="C116" s="176" t="s">
        <v>1091</v>
      </c>
      <c r="D116" s="126"/>
      <c r="E116" s="664"/>
      <c r="F116" s="726"/>
      <c r="G116" s="79"/>
      <c r="H116" s="80"/>
      <c r="I116" s="81"/>
      <c r="J116" s="91">
        <f t="shared" si="21"/>
        <v>0</v>
      </c>
      <c r="K116" s="734"/>
      <c r="L116" s="158" t="s">
        <v>1092</v>
      </c>
      <c r="M116" s="293"/>
    </row>
    <row r="117" spans="1:13">
      <c r="A117" s="53">
        <v>75</v>
      </c>
      <c r="B117" s="76" t="s">
        <v>1087</v>
      </c>
      <c r="C117" s="132" t="s">
        <v>1088</v>
      </c>
      <c r="D117" s="185" t="s">
        <v>1093</v>
      </c>
      <c r="E117" s="665"/>
      <c r="F117" s="718"/>
      <c r="G117" s="96" t="s">
        <v>1094</v>
      </c>
      <c r="H117" s="97" t="s">
        <v>142</v>
      </c>
      <c r="I117" s="98">
        <v>40</v>
      </c>
      <c r="J117" s="91">
        <f t="shared" si="21"/>
        <v>0</v>
      </c>
      <c r="K117" s="738"/>
      <c r="L117" s="156">
        <f>K117/256</f>
        <v>0</v>
      </c>
      <c r="M117" s="100">
        <f>(I117/16)*K117</f>
        <v>0</v>
      </c>
    </row>
    <row r="118" spans="1:13">
      <c r="B118" s="112"/>
      <c r="C118" s="176" t="s">
        <v>1095</v>
      </c>
      <c r="D118" s="126"/>
      <c r="E118" s="664"/>
      <c r="F118" s="726"/>
      <c r="G118" s="79"/>
      <c r="H118" s="80"/>
      <c r="I118" s="81"/>
      <c r="J118" s="91">
        <f t="shared" si="21"/>
        <v>0</v>
      </c>
      <c r="K118" s="738"/>
      <c r="L118" s="158" t="s">
        <v>254</v>
      </c>
      <c r="M118" s="293"/>
    </row>
    <row r="119" spans="1:13">
      <c r="A119" s="53">
        <v>76</v>
      </c>
      <c r="B119" s="76" t="s">
        <v>1087</v>
      </c>
      <c r="C119" s="132" t="s">
        <v>1096</v>
      </c>
      <c r="D119" s="185" t="s">
        <v>1097</v>
      </c>
      <c r="E119" s="665"/>
      <c r="F119" s="718"/>
      <c r="G119" s="168" t="s">
        <v>1098</v>
      </c>
      <c r="H119" s="97" t="s">
        <v>142</v>
      </c>
      <c r="I119" s="98">
        <v>40</v>
      </c>
      <c r="J119" s="91">
        <f t="shared" si="21"/>
        <v>0</v>
      </c>
      <c r="K119" s="732"/>
      <c r="L119" s="156">
        <f>K119/64</f>
        <v>0</v>
      </c>
      <c r="M119" s="100">
        <f>(I119/16)*K119</f>
        <v>0</v>
      </c>
    </row>
    <row r="120" spans="1:13">
      <c r="B120" s="112" t="s">
        <v>1099</v>
      </c>
      <c r="C120" s="176" t="s">
        <v>1100</v>
      </c>
      <c r="D120" s="126"/>
      <c r="E120" s="664"/>
      <c r="F120" s="726"/>
      <c r="G120" s="79"/>
      <c r="H120" s="80"/>
      <c r="I120" s="81"/>
      <c r="J120" s="91">
        <f t="shared" si="21"/>
        <v>0</v>
      </c>
      <c r="K120" s="734"/>
      <c r="L120" s="158" t="s">
        <v>1092</v>
      </c>
      <c r="M120" s="293"/>
    </row>
    <row r="121" spans="1:13">
      <c r="A121" s="53">
        <v>77</v>
      </c>
      <c r="B121" s="116" t="s">
        <v>1101</v>
      </c>
      <c r="C121" s="412" t="s">
        <v>1102</v>
      </c>
      <c r="D121" s="185" t="s">
        <v>1103</v>
      </c>
      <c r="E121" s="663"/>
      <c r="F121" s="719"/>
      <c r="G121" s="119" t="s">
        <v>1104</v>
      </c>
      <c r="H121" s="120" t="s">
        <v>142</v>
      </c>
      <c r="I121" s="121">
        <v>50</v>
      </c>
      <c r="J121" s="91">
        <f t="shared" si="21"/>
        <v>0</v>
      </c>
      <c r="K121" s="738"/>
      <c r="L121" s="159">
        <f t="shared" ref="L121:L122" si="27">K121/104</f>
        <v>0</v>
      </c>
      <c r="M121" s="143">
        <f t="shared" ref="M121:M122" si="28">I121*K121</f>
        <v>0</v>
      </c>
    </row>
    <row r="122" spans="1:13">
      <c r="A122" s="53">
        <v>78</v>
      </c>
      <c r="B122" s="116"/>
      <c r="C122" s="170" t="s">
        <v>1105</v>
      </c>
      <c r="D122" s="185" t="s">
        <v>1103</v>
      </c>
      <c r="E122" s="663"/>
      <c r="F122" s="719"/>
      <c r="G122" s="119" t="s">
        <v>1106</v>
      </c>
      <c r="H122" s="120"/>
      <c r="I122" s="121">
        <v>6</v>
      </c>
      <c r="J122" s="91">
        <f t="shared" si="21"/>
        <v>0</v>
      </c>
      <c r="K122" s="738"/>
      <c r="L122" s="159">
        <f t="shared" si="27"/>
        <v>0</v>
      </c>
      <c r="M122" s="143">
        <f t="shared" si="28"/>
        <v>0</v>
      </c>
    </row>
    <row r="123" spans="1:13">
      <c r="B123" s="116"/>
      <c r="C123" s="413"/>
      <c r="D123" s="130"/>
      <c r="E123" s="667"/>
      <c r="F123" s="719"/>
      <c r="G123" s="119" t="s">
        <v>167</v>
      </c>
      <c r="H123" s="120"/>
      <c r="I123" s="121"/>
      <c r="J123" s="106">
        <f t="shared" si="21"/>
        <v>0</v>
      </c>
      <c r="K123" s="738"/>
      <c r="L123" s="301"/>
      <c r="M123" s="155"/>
    </row>
    <row r="124" spans="1:13">
      <c r="A124" s="53">
        <v>79</v>
      </c>
      <c r="B124" s="76" t="s">
        <v>1107</v>
      </c>
      <c r="C124" s="94" t="s">
        <v>1108</v>
      </c>
      <c r="D124" s="234" t="s">
        <v>1109</v>
      </c>
      <c r="E124" s="660"/>
      <c r="F124" s="718"/>
      <c r="G124" s="96" t="s">
        <v>1110</v>
      </c>
      <c r="H124" s="97" t="s">
        <v>142</v>
      </c>
      <c r="I124" s="98">
        <v>50</v>
      </c>
      <c r="J124" s="106">
        <f t="shared" si="21"/>
        <v>0</v>
      </c>
      <c r="K124" s="732"/>
      <c r="L124" s="169">
        <f>K124/72</f>
        <v>0</v>
      </c>
      <c r="M124" s="133">
        <f>I124*K124</f>
        <v>0</v>
      </c>
    </row>
    <row r="125" spans="1:13">
      <c r="B125" s="112"/>
      <c r="C125" s="413"/>
      <c r="D125" s="126"/>
      <c r="E125" s="669"/>
      <c r="F125" s="719"/>
      <c r="G125" s="119"/>
      <c r="H125" s="120"/>
      <c r="I125" s="121"/>
      <c r="J125" s="140">
        <f t="shared" si="21"/>
        <v>0</v>
      </c>
      <c r="K125" s="733"/>
      <c r="L125" s="200"/>
      <c r="M125" s="155" t="s">
        <v>1000</v>
      </c>
    </row>
    <row r="126" spans="1:13">
      <c r="A126" s="53">
        <v>80</v>
      </c>
      <c r="B126" s="414" t="s">
        <v>1111</v>
      </c>
      <c r="C126" s="331" t="s">
        <v>1112</v>
      </c>
      <c r="D126" s="185" t="s">
        <v>1113</v>
      </c>
      <c r="E126" s="660"/>
      <c r="F126" s="718"/>
      <c r="G126" s="96" t="s">
        <v>1114</v>
      </c>
      <c r="H126" s="97" t="s">
        <v>142</v>
      </c>
      <c r="I126" s="98">
        <v>6</v>
      </c>
      <c r="J126" s="106">
        <f t="shared" si="21"/>
        <v>0</v>
      </c>
      <c r="K126" s="732"/>
      <c r="L126" s="169">
        <f>K126/64</f>
        <v>0</v>
      </c>
      <c r="M126" s="133">
        <f t="shared" ref="M126:M127" si="29">I126*K126</f>
        <v>0</v>
      </c>
    </row>
    <row r="127" spans="1:13">
      <c r="A127" s="53">
        <v>81</v>
      </c>
      <c r="B127" s="414"/>
      <c r="C127" s="117" t="s">
        <v>1115</v>
      </c>
      <c r="D127" s="185" t="s">
        <v>1116</v>
      </c>
      <c r="E127" s="669"/>
      <c r="F127" s="719"/>
      <c r="G127" s="119" t="s">
        <v>1117</v>
      </c>
      <c r="H127" s="120" t="s">
        <v>142</v>
      </c>
      <c r="I127" s="121">
        <v>4</v>
      </c>
      <c r="J127" s="140">
        <f t="shared" si="21"/>
        <v>0</v>
      </c>
      <c r="K127" s="733"/>
      <c r="L127" s="200">
        <f>K127/90</f>
        <v>0</v>
      </c>
      <c r="M127" s="143">
        <f t="shared" si="29"/>
        <v>0</v>
      </c>
    </row>
    <row r="128" spans="1:13">
      <c r="A128" s="53">
        <v>82</v>
      </c>
      <c r="B128" s="270" t="s">
        <v>1118</v>
      </c>
      <c r="C128" s="415" t="s">
        <v>1119</v>
      </c>
      <c r="D128" s="198" t="s">
        <v>1120</v>
      </c>
      <c r="E128" s="660"/>
      <c r="F128" s="718"/>
      <c r="G128" s="416" t="s">
        <v>1121</v>
      </c>
      <c r="H128" s="97" t="s">
        <v>142</v>
      </c>
      <c r="I128" s="98">
        <v>4</v>
      </c>
      <c r="J128" s="106">
        <f t="shared" si="21"/>
        <v>0</v>
      </c>
      <c r="K128" s="732"/>
      <c r="L128" s="169">
        <f t="shared" ref="L128:L131" si="30">K128/104</f>
        <v>0</v>
      </c>
      <c r="M128" s="100">
        <f t="shared" ref="M128:M132" si="31">K128*I128</f>
        <v>0</v>
      </c>
    </row>
    <row r="129" spans="1:13">
      <c r="A129" s="53">
        <v>83</v>
      </c>
      <c r="B129" s="414"/>
      <c r="C129" s="417" t="s">
        <v>1122</v>
      </c>
      <c r="D129" s="298" t="s">
        <v>1120</v>
      </c>
      <c r="E129" s="669"/>
      <c r="F129" s="719"/>
      <c r="G129" s="418" t="s">
        <v>1123</v>
      </c>
      <c r="H129" s="120" t="s">
        <v>142</v>
      </c>
      <c r="I129" s="121">
        <v>3</v>
      </c>
      <c r="J129" s="140">
        <f t="shared" si="21"/>
        <v>0</v>
      </c>
      <c r="K129" s="733"/>
      <c r="L129" s="200">
        <f t="shared" si="30"/>
        <v>0</v>
      </c>
      <c r="M129" s="123">
        <f t="shared" si="31"/>
        <v>0</v>
      </c>
    </row>
    <row r="130" spans="1:13">
      <c r="A130" s="53">
        <v>84</v>
      </c>
      <c r="B130" s="414"/>
      <c r="C130" s="417" t="s">
        <v>1124</v>
      </c>
      <c r="D130" s="298" t="s">
        <v>1089</v>
      </c>
      <c r="E130" s="669"/>
      <c r="F130" s="719"/>
      <c r="G130" s="418" t="s">
        <v>1125</v>
      </c>
      <c r="H130" s="120" t="s">
        <v>142</v>
      </c>
      <c r="I130" s="121">
        <v>1</v>
      </c>
      <c r="J130" s="140">
        <f t="shared" si="21"/>
        <v>0</v>
      </c>
      <c r="K130" s="733"/>
      <c r="L130" s="200">
        <f t="shared" si="30"/>
        <v>0</v>
      </c>
      <c r="M130" s="123">
        <f t="shared" si="31"/>
        <v>0</v>
      </c>
    </row>
    <row r="131" spans="1:13">
      <c r="A131" s="53">
        <v>85</v>
      </c>
      <c r="B131" s="414"/>
      <c r="C131" s="417" t="s">
        <v>1126</v>
      </c>
      <c r="D131" s="419" t="s">
        <v>1127</v>
      </c>
      <c r="E131" s="669"/>
      <c r="F131" s="768"/>
      <c r="G131" s="418" t="s">
        <v>1128</v>
      </c>
      <c r="H131" s="120" t="s">
        <v>142</v>
      </c>
      <c r="I131" s="121">
        <v>6</v>
      </c>
      <c r="J131" s="140">
        <f t="shared" si="21"/>
        <v>0</v>
      </c>
      <c r="K131" s="733"/>
      <c r="L131" s="200">
        <f t="shared" si="30"/>
        <v>0</v>
      </c>
      <c r="M131" s="123">
        <f t="shared" si="31"/>
        <v>0</v>
      </c>
    </row>
    <row r="132" spans="1:13">
      <c r="A132" s="53">
        <v>86</v>
      </c>
      <c r="B132" s="332"/>
      <c r="C132" s="420" t="s">
        <v>1129</v>
      </c>
      <c r="D132" s="421" t="s">
        <v>1130</v>
      </c>
      <c r="E132" s="652"/>
      <c r="F132" s="726"/>
      <c r="G132" s="320" t="s">
        <v>1131</v>
      </c>
      <c r="H132" s="80" t="s">
        <v>142</v>
      </c>
      <c r="I132" s="81">
        <v>3</v>
      </c>
      <c r="J132" s="114">
        <f t="shared" si="21"/>
        <v>0</v>
      </c>
      <c r="K132" s="734"/>
      <c r="L132" s="178">
        <f>K132/72</f>
        <v>0</v>
      </c>
      <c r="M132" s="115">
        <f t="shared" si="31"/>
        <v>0</v>
      </c>
    </row>
    <row r="133" spans="1:13">
      <c r="A133" s="53">
        <v>87</v>
      </c>
      <c r="B133" s="422" t="s">
        <v>1132</v>
      </c>
      <c r="C133" s="117" t="s">
        <v>1133</v>
      </c>
      <c r="D133" s="298" t="s">
        <v>1134</v>
      </c>
      <c r="E133" s="669"/>
      <c r="F133" s="719"/>
      <c r="G133" s="199" t="s">
        <v>1135</v>
      </c>
      <c r="H133" s="120" t="s">
        <v>142</v>
      </c>
      <c r="I133" s="257">
        <v>60</v>
      </c>
      <c r="J133" s="140"/>
      <c r="K133" s="738"/>
      <c r="L133" s="200">
        <f t="shared" ref="L133:L135" si="32">K133/72</f>
        <v>0</v>
      </c>
      <c r="M133" s="123">
        <f t="shared" ref="M133:M136" si="33">I133*K133</f>
        <v>0</v>
      </c>
    </row>
    <row r="134" spans="1:13">
      <c r="A134" s="53">
        <v>88</v>
      </c>
      <c r="B134" s="414"/>
      <c r="C134" s="117" t="s">
        <v>1136</v>
      </c>
      <c r="D134" s="298" t="s">
        <v>1134</v>
      </c>
      <c r="E134" s="669"/>
      <c r="F134" s="719"/>
      <c r="G134" s="199" t="s">
        <v>1137</v>
      </c>
      <c r="H134" s="120" t="s">
        <v>142</v>
      </c>
      <c r="I134" s="257">
        <v>10</v>
      </c>
      <c r="J134" s="140"/>
      <c r="K134" s="738"/>
      <c r="L134" s="200">
        <f t="shared" si="32"/>
        <v>0</v>
      </c>
      <c r="M134" s="123">
        <f t="shared" si="33"/>
        <v>0</v>
      </c>
    </row>
    <row r="135" spans="1:13">
      <c r="A135" s="53">
        <v>89</v>
      </c>
      <c r="B135" s="414"/>
      <c r="C135" s="117" t="s">
        <v>1138</v>
      </c>
      <c r="D135" s="298" t="s">
        <v>1134</v>
      </c>
      <c r="E135" s="669"/>
      <c r="F135" s="719"/>
      <c r="G135" s="199" t="s">
        <v>1139</v>
      </c>
      <c r="H135" s="120" t="s">
        <v>142</v>
      </c>
      <c r="I135" s="257">
        <v>10</v>
      </c>
      <c r="J135" s="140"/>
      <c r="K135" s="738"/>
      <c r="L135" s="200">
        <f t="shared" si="32"/>
        <v>0</v>
      </c>
      <c r="M135" s="123">
        <f t="shared" si="33"/>
        <v>0</v>
      </c>
    </row>
    <row r="136" spans="1:13">
      <c r="A136" s="53">
        <v>90</v>
      </c>
      <c r="B136" s="414"/>
      <c r="C136" s="117" t="s">
        <v>1140</v>
      </c>
      <c r="D136" s="298" t="s">
        <v>1141</v>
      </c>
      <c r="E136" s="669"/>
      <c r="F136" s="719"/>
      <c r="G136" s="199" t="s">
        <v>1142</v>
      </c>
      <c r="H136" s="120" t="s">
        <v>142</v>
      </c>
      <c r="I136" s="257">
        <v>10</v>
      </c>
      <c r="J136" s="140"/>
      <c r="K136" s="738"/>
      <c r="L136" s="200">
        <f>K136/104</f>
        <v>0</v>
      </c>
      <c r="M136" s="123">
        <f t="shared" si="33"/>
        <v>0</v>
      </c>
    </row>
    <row r="137" spans="1:13">
      <c r="B137" s="414"/>
      <c r="C137" s="305"/>
      <c r="D137" s="419"/>
      <c r="E137" s="669"/>
      <c r="F137" s="719"/>
      <c r="G137" s="199" t="s">
        <v>167</v>
      </c>
      <c r="H137" s="120"/>
      <c r="I137" s="121"/>
      <c r="J137" s="140"/>
      <c r="K137" s="738"/>
      <c r="L137" s="200"/>
      <c r="M137" s="123"/>
    </row>
    <row r="138" spans="1:13">
      <c r="A138" s="53">
        <v>91</v>
      </c>
      <c r="B138" s="76" t="s">
        <v>1143</v>
      </c>
      <c r="C138" s="132" t="s">
        <v>1144</v>
      </c>
      <c r="D138" s="321" t="s">
        <v>1145</v>
      </c>
      <c r="E138" s="665"/>
      <c r="F138" s="718"/>
      <c r="G138" s="96" t="s">
        <v>1146</v>
      </c>
      <c r="H138" s="97" t="s">
        <v>142</v>
      </c>
      <c r="I138" s="98">
        <v>8</v>
      </c>
      <c r="J138" s="91">
        <f t="shared" ref="J138:J147" si="34">(K138*8%)+K138</f>
        <v>0</v>
      </c>
      <c r="K138" s="739"/>
      <c r="L138" s="156">
        <f>K138/144</f>
        <v>0</v>
      </c>
      <c r="M138" s="100">
        <f>I138*K138</f>
        <v>0</v>
      </c>
    </row>
    <row r="139" spans="1:13">
      <c r="B139" s="112"/>
      <c r="C139" s="77" t="s">
        <v>1147</v>
      </c>
      <c r="D139" s="421"/>
      <c r="E139" s="664"/>
      <c r="F139" s="726"/>
      <c r="G139" s="177"/>
      <c r="H139" s="80"/>
      <c r="I139" s="81"/>
      <c r="J139" s="91">
        <f t="shared" si="34"/>
        <v>0</v>
      </c>
      <c r="K139" s="738"/>
      <c r="L139" s="158"/>
      <c r="M139" s="293"/>
    </row>
    <row r="140" spans="1:13">
      <c r="A140" s="53">
        <v>92</v>
      </c>
      <c r="B140" s="76" t="s">
        <v>1148</v>
      </c>
      <c r="C140" s="94" t="s">
        <v>1149</v>
      </c>
      <c r="D140" s="185" t="s">
        <v>1150</v>
      </c>
      <c r="E140" s="665"/>
      <c r="F140" s="718"/>
      <c r="G140" s="96" t="s">
        <v>1151</v>
      </c>
      <c r="H140" s="97" t="s">
        <v>142</v>
      </c>
      <c r="I140" s="98">
        <v>35</v>
      </c>
      <c r="J140" s="91">
        <f t="shared" si="34"/>
        <v>0</v>
      </c>
      <c r="K140" s="732"/>
      <c r="L140" s="156">
        <f>K140/192</f>
        <v>0</v>
      </c>
      <c r="M140" s="100">
        <f>I140*K140</f>
        <v>0</v>
      </c>
    </row>
    <row r="141" spans="1:13">
      <c r="B141" s="112"/>
      <c r="C141" s="134" t="s">
        <v>1152</v>
      </c>
      <c r="D141" s="126"/>
      <c r="E141" s="664"/>
      <c r="F141" s="726"/>
      <c r="G141" s="79"/>
      <c r="H141" s="80"/>
      <c r="I141" s="81"/>
      <c r="J141" s="91">
        <f t="shared" si="34"/>
        <v>0</v>
      </c>
      <c r="K141" s="734"/>
      <c r="L141" s="158"/>
      <c r="M141" s="115"/>
    </row>
    <row r="142" spans="1:13">
      <c r="A142" s="53">
        <v>93</v>
      </c>
      <c r="B142" s="76" t="s">
        <v>1153</v>
      </c>
      <c r="C142" s="131" t="s">
        <v>1154</v>
      </c>
      <c r="D142" s="185" t="s">
        <v>1155</v>
      </c>
      <c r="E142" s="665"/>
      <c r="F142" s="718"/>
      <c r="G142" s="96" t="s">
        <v>1156</v>
      </c>
      <c r="H142" s="97" t="s">
        <v>142</v>
      </c>
      <c r="I142" s="98">
        <v>10</v>
      </c>
      <c r="J142" s="91">
        <f t="shared" si="34"/>
        <v>0</v>
      </c>
      <c r="K142" s="738"/>
      <c r="L142" s="156">
        <f>K142/144</f>
        <v>0</v>
      </c>
      <c r="M142" s="100">
        <f>I142*K142</f>
        <v>0</v>
      </c>
    </row>
    <row r="143" spans="1:13">
      <c r="B143" s="112"/>
      <c r="C143" s="134" t="s">
        <v>1157</v>
      </c>
      <c r="D143" s="126"/>
      <c r="E143" s="664"/>
      <c r="F143" s="726"/>
      <c r="G143" s="79"/>
      <c r="H143" s="80"/>
      <c r="I143" s="81"/>
      <c r="J143" s="91">
        <f t="shared" si="34"/>
        <v>0</v>
      </c>
      <c r="K143" s="738"/>
      <c r="L143" s="158"/>
      <c r="M143" s="115"/>
    </row>
    <row r="144" spans="1:13">
      <c r="A144" s="53">
        <v>94</v>
      </c>
      <c r="B144" s="116" t="s">
        <v>1158</v>
      </c>
      <c r="C144" s="129" t="s">
        <v>1159</v>
      </c>
      <c r="D144" s="185" t="s">
        <v>1160</v>
      </c>
      <c r="E144" s="663"/>
      <c r="F144" s="719"/>
      <c r="G144" s="119" t="s">
        <v>1161</v>
      </c>
      <c r="H144" s="120" t="s">
        <v>142</v>
      </c>
      <c r="I144" s="121">
        <v>14</v>
      </c>
      <c r="J144" s="91">
        <f t="shared" si="34"/>
        <v>0</v>
      </c>
      <c r="K144" s="732"/>
      <c r="L144" s="159">
        <f>K144/140</f>
        <v>0</v>
      </c>
      <c r="M144" s="123">
        <f>I144*K144</f>
        <v>0</v>
      </c>
    </row>
    <row r="145" spans="1:13">
      <c r="B145" s="116"/>
      <c r="C145" s="239" t="s">
        <v>1162</v>
      </c>
      <c r="D145" s="126"/>
      <c r="E145" s="663"/>
      <c r="F145" s="719"/>
      <c r="G145" s="119" t="s">
        <v>167</v>
      </c>
      <c r="H145" s="120"/>
      <c r="I145" s="121"/>
      <c r="J145" s="91">
        <f t="shared" si="34"/>
        <v>0</v>
      </c>
      <c r="K145" s="734"/>
      <c r="L145" s="159"/>
      <c r="M145" s="123"/>
    </row>
    <row r="146" spans="1:13">
      <c r="A146" s="53">
        <v>95</v>
      </c>
      <c r="B146" s="76" t="s">
        <v>1163</v>
      </c>
      <c r="C146" s="423" t="s">
        <v>1164</v>
      </c>
      <c r="D146" s="321" t="s">
        <v>1145</v>
      </c>
      <c r="E146" s="665"/>
      <c r="F146" s="718"/>
      <c r="G146" s="96" t="s">
        <v>1165</v>
      </c>
      <c r="H146" s="97" t="s">
        <v>142</v>
      </c>
      <c r="I146" s="98">
        <v>50</v>
      </c>
      <c r="J146" s="91">
        <f t="shared" si="34"/>
        <v>0</v>
      </c>
      <c r="K146" s="738"/>
      <c r="L146" s="156">
        <f>K146/144</f>
        <v>0</v>
      </c>
      <c r="M146" s="100">
        <f>I146*K146</f>
        <v>0</v>
      </c>
    </row>
    <row r="147" spans="1:13">
      <c r="B147" s="112"/>
      <c r="C147" s="134" t="s">
        <v>1166</v>
      </c>
      <c r="D147" s="193"/>
      <c r="E147" s="664"/>
      <c r="F147" s="726"/>
      <c r="G147" s="79"/>
      <c r="H147" s="80"/>
      <c r="I147" s="81"/>
      <c r="J147" s="91">
        <f t="shared" si="34"/>
        <v>0</v>
      </c>
      <c r="K147" s="738"/>
      <c r="L147" s="158"/>
      <c r="M147" s="115"/>
    </row>
    <row r="148" spans="1:13">
      <c r="A148" s="53">
        <v>96</v>
      </c>
      <c r="B148" s="253" t="s">
        <v>1167</v>
      </c>
      <c r="C148" s="153" t="s">
        <v>1168</v>
      </c>
      <c r="D148" s="185" t="s">
        <v>1169</v>
      </c>
      <c r="E148" s="669"/>
      <c r="F148" s="719"/>
      <c r="G148" s="199" t="s">
        <v>1170</v>
      </c>
      <c r="H148" s="389" t="s">
        <v>142</v>
      </c>
      <c r="I148" s="257">
        <v>25</v>
      </c>
      <c r="J148" s="91"/>
      <c r="K148" s="739"/>
      <c r="L148" s="200">
        <f>K148/144</f>
        <v>0</v>
      </c>
      <c r="M148" s="123">
        <f>K148*I148</f>
        <v>0</v>
      </c>
    </row>
    <row r="149" spans="1:13">
      <c r="B149" s="116"/>
      <c r="C149" s="239" t="s">
        <v>1171</v>
      </c>
      <c r="D149" s="185"/>
      <c r="E149" s="669"/>
      <c r="F149" s="719"/>
      <c r="G149" s="199"/>
      <c r="H149" s="120"/>
      <c r="I149" s="257"/>
      <c r="J149" s="91"/>
      <c r="K149" s="738"/>
      <c r="L149" s="200"/>
      <c r="M149" s="123"/>
    </row>
    <row r="150" spans="1:13">
      <c r="A150" s="53">
        <v>97</v>
      </c>
      <c r="B150" s="76" t="s">
        <v>1172</v>
      </c>
      <c r="C150" s="131" t="s">
        <v>1173</v>
      </c>
      <c r="D150" s="185" t="s">
        <v>1174</v>
      </c>
      <c r="E150" s="665"/>
      <c r="F150" s="718"/>
      <c r="G150" s="168" t="s">
        <v>1175</v>
      </c>
      <c r="H150" s="97" t="s">
        <v>142</v>
      </c>
      <c r="I150" s="228">
        <v>10</v>
      </c>
      <c r="J150" s="91">
        <f t="shared" ref="J150:J158" si="35">(K150*8%)+K150</f>
        <v>0</v>
      </c>
      <c r="K150" s="732"/>
      <c r="L150" s="156">
        <f>K150/96</f>
        <v>0</v>
      </c>
      <c r="M150" s="100">
        <f>I150*K150</f>
        <v>0</v>
      </c>
    </row>
    <row r="151" spans="1:13">
      <c r="B151" s="112"/>
      <c r="C151" s="134" t="s">
        <v>1176</v>
      </c>
      <c r="D151" s="126"/>
      <c r="E151" s="664"/>
      <c r="F151" s="726"/>
      <c r="G151" s="79" t="s">
        <v>167</v>
      </c>
      <c r="H151" s="80"/>
      <c r="I151" s="81"/>
      <c r="J151" s="91">
        <f t="shared" si="35"/>
        <v>0</v>
      </c>
      <c r="K151" s="734"/>
      <c r="L151" s="158"/>
      <c r="M151" s="115"/>
    </row>
    <row r="152" spans="1:13">
      <c r="A152" s="53">
        <v>98</v>
      </c>
      <c r="B152" s="76" t="s">
        <v>1177</v>
      </c>
      <c r="C152" s="131" t="s">
        <v>1178</v>
      </c>
      <c r="D152" s="321" t="s">
        <v>155</v>
      </c>
      <c r="E152" s="665"/>
      <c r="F152" s="718"/>
      <c r="G152" s="424" t="s">
        <v>1179</v>
      </c>
      <c r="H152" s="97" t="s">
        <v>142</v>
      </c>
      <c r="I152" s="98">
        <v>10</v>
      </c>
      <c r="J152" s="91">
        <f t="shared" si="35"/>
        <v>0</v>
      </c>
      <c r="K152" s="732"/>
      <c r="L152" s="156">
        <f>K152/38</f>
        <v>0</v>
      </c>
      <c r="M152" s="100">
        <f>I152*K152</f>
        <v>0</v>
      </c>
    </row>
    <row r="153" spans="1:13">
      <c r="B153" s="112"/>
      <c r="C153" s="329" t="s">
        <v>1180</v>
      </c>
      <c r="D153" s="401"/>
      <c r="E153" s="664"/>
      <c r="F153" s="726"/>
      <c r="G153" s="79"/>
      <c r="H153" s="80"/>
      <c r="I153" s="81"/>
      <c r="J153" s="91">
        <f t="shared" si="35"/>
        <v>0</v>
      </c>
      <c r="K153" s="734"/>
      <c r="L153" s="158"/>
      <c r="M153" s="115"/>
    </row>
    <row r="154" spans="1:13">
      <c r="A154" s="53">
        <v>99</v>
      </c>
      <c r="B154" s="85" t="s">
        <v>1181</v>
      </c>
      <c r="C154" s="160" t="s">
        <v>1182</v>
      </c>
      <c r="D154" s="425" t="s">
        <v>889</v>
      </c>
      <c r="E154" s="654"/>
      <c r="F154" s="759"/>
      <c r="G154" s="426" t="s">
        <v>1183</v>
      </c>
      <c r="H154" s="89" t="s">
        <v>142</v>
      </c>
      <c r="I154" s="90">
        <v>10</v>
      </c>
      <c r="J154" s="91">
        <f t="shared" si="35"/>
        <v>0</v>
      </c>
      <c r="K154" s="740"/>
      <c r="L154" s="161">
        <f t="shared" ref="L154:L156" si="36">K154/38</f>
        <v>0</v>
      </c>
      <c r="M154" s="152">
        <f t="shared" ref="M154:M158" si="37">I154*K154</f>
        <v>0</v>
      </c>
    </row>
    <row r="155" spans="1:13">
      <c r="A155" s="53">
        <v>100</v>
      </c>
      <c r="B155" s="85" t="s">
        <v>1184</v>
      </c>
      <c r="C155" s="160" t="s">
        <v>1185</v>
      </c>
      <c r="D155" s="425" t="s">
        <v>1186</v>
      </c>
      <c r="E155" s="654"/>
      <c r="F155" s="759"/>
      <c r="G155" s="426" t="s">
        <v>1187</v>
      </c>
      <c r="H155" s="89" t="s">
        <v>142</v>
      </c>
      <c r="I155" s="90">
        <v>20</v>
      </c>
      <c r="J155" s="91">
        <f t="shared" si="35"/>
        <v>0</v>
      </c>
      <c r="K155" s="770"/>
      <c r="L155" s="161">
        <f t="shared" si="36"/>
        <v>0</v>
      </c>
      <c r="M155" s="152">
        <f t="shared" si="37"/>
        <v>0</v>
      </c>
    </row>
    <row r="156" spans="1:13">
      <c r="A156" s="53">
        <v>101</v>
      </c>
      <c r="B156" s="85" t="s">
        <v>1188</v>
      </c>
      <c r="C156" s="160" t="s">
        <v>1189</v>
      </c>
      <c r="D156" s="425" t="s">
        <v>1186</v>
      </c>
      <c r="E156" s="654"/>
      <c r="F156" s="759"/>
      <c r="G156" s="426" t="s">
        <v>1190</v>
      </c>
      <c r="H156" s="89" t="s">
        <v>142</v>
      </c>
      <c r="I156" s="90">
        <v>20</v>
      </c>
      <c r="J156" s="91">
        <f t="shared" si="35"/>
        <v>0</v>
      </c>
      <c r="K156" s="770"/>
      <c r="L156" s="161">
        <f t="shared" si="36"/>
        <v>0</v>
      </c>
      <c r="M156" s="152">
        <f t="shared" si="37"/>
        <v>0</v>
      </c>
    </row>
    <row r="157" spans="1:13">
      <c r="A157" s="53">
        <v>102</v>
      </c>
      <c r="B157" s="85" t="s">
        <v>1191</v>
      </c>
      <c r="C157" s="160" t="s">
        <v>1192</v>
      </c>
      <c r="D157" s="425" t="s">
        <v>1193</v>
      </c>
      <c r="E157" s="654"/>
      <c r="F157" s="759"/>
      <c r="G157" s="88" t="s">
        <v>1194</v>
      </c>
      <c r="H157" s="89" t="s">
        <v>142</v>
      </c>
      <c r="I157" s="90">
        <v>5</v>
      </c>
      <c r="J157" s="91">
        <f t="shared" si="35"/>
        <v>0</v>
      </c>
      <c r="K157" s="770"/>
      <c r="L157" s="161">
        <f>K157/162</f>
        <v>0</v>
      </c>
      <c r="M157" s="152">
        <f t="shared" si="37"/>
        <v>0</v>
      </c>
    </row>
    <row r="158" spans="1:13">
      <c r="A158" s="53">
        <v>103</v>
      </c>
      <c r="B158" s="427" t="s">
        <v>1195</v>
      </c>
      <c r="C158" s="160" t="s">
        <v>1196</v>
      </c>
      <c r="D158" s="428"/>
      <c r="E158" s="654"/>
      <c r="F158" s="759"/>
      <c r="G158" s="151" t="s">
        <v>258</v>
      </c>
      <c r="H158" s="89" t="s">
        <v>142</v>
      </c>
      <c r="I158" s="429">
        <v>20</v>
      </c>
      <c r="J158" s="106">
        <f t="shared" si="35"/>
        <v>0</v>
      </c>
      <c r="K158" s="739"/>
      <c r="L158" s="161"/>
      <c r="M158" s="152">
        <f t="shared" si="37"/>
        <v>0</v>
      </c>
    </row>
    <row r="159" spans="1:13">
      <c r="B159" s="947" t="s">
        <v>1197</v>
      </c>
      <c r="C159" s="948"/>
      <c r="D159" s="948"/>
      <c r="E159" s="948"/>
      <c r="F159" s="948"/>
      <c r="G159" s="948"/>
      <c r="H159" s="948"/>
      <c r="I159" s="948"/>
      <c r="J159" s="430"/>
      <c r="K159" s="949">
        <f>SUM(M3:M158)</f>
        <v>0</v>
      </c>
      <c r="L159" s="948"/>
      <c r="M159" s="950"/>
    </row>
  </sheetData>
  <sheetProtection algorithmName="SHA-512" hashValue="yMIjq4yCx/+oxKQGYkQjzaW3TUXt3v40nP/s+/TeUGfzV/YQ+Tqc9r/Eddk1qimt/Lai2S3Txitj7TV7hSXzIQ==" saltValue="CymGRjss4J3TU5E/zcY0Xw==" spinCount="100000" sheet="1" objects="1" scenarios="1" selectLockedCells="1"/>
  <mergeCells count="6">
    <mergeCell ref="B2:M2"/>
    <mergeCell ref="B10:B11"/>
    <mergeCell ref="B15:B16"/>
    <mergeCell ref="B93:B94"/>
    <mergeCell ref="B159:I159"/>
    <mergeCell ref="K159:M159"/>
  </mergeCells>
  <pageMargins left="0.25" right="0.25" top="0.25" bottom="0.25" header="0.25" footer="0.25"/>
  <pageSetup scale="5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A1:M104"/>
  <sheetViews>
    <sheetView workbookViewId="0">
      <selection activeCell="E3" sqref="E3:F8"/>
    </sheetView>
  </sheetViews>
  <sheetFormatPr defaultColWidth="14.42578125" defaultRowHeight="15" customHeight="1"/>
  <cols>
    <col min="1" max="1" width="3.5703125" customWidth="1"/>
    <col min="2" max="2" width="33.7109375" customWidth="1"/>
    <col min="3" max="3" width="64.85546875" customWidth="1"/>
    <col min="4" max="4" width="12.42578125" customWidth="1"/>
    <col min="5" max="5" width="12.85546875" customWidth="1"/>
    <col min="6" max="6" width="11.7109375" customWidth="1"/>
    <col min="7" max="7" width="35.5703125" customWidth="1"/>
    <col min="8" max="8" width="9.5703125" customWidth="1"/>
    <col min="9" max="9" width="9.42578125" customWidth="1"/>
    <col min="10" max="10" width="14.42578125" hidden="1"/>
    <col min="11" max="11" width="11" customWidth="1"/>
    <col min="12" max="12" width="11.28515625" customWidth="1"/>
    <col min="13" max="13" width="11.42578125" customWidth="1"/>
  </cols>
  <sheetData>
    <row r="1" spans="1:13">
      <c r="A1" s="60"/>
      <c r="B1" s="431" t="s">
        <v>93</v>
      </c>
      <c r="C1" s="431" t="s">
        <v>94</v>
      </c>
      <c r="D1" s="432" t="s">
        <v>95</v>
      </c>
      <c r="E1" s="433" t="s">
        <v>96</v>
      </c>
      <c r="F1" s="434" t="s">
        <v>97</v>
      </c>
      <c r="G1" s="431" t="s">
        <v>98</v>
      </c>
      <c r="H1" s="431" t="s">
        <v>99</v>
      </c>
      <c r="I1" s="435" t="s">
        <v>100</v>
      </c>
      <c r="J1" s="436" t="s">
        <v>101</v>
      </c>
      <c r="K1" s="437" t="s">
        <v>102</v>
      </c>
      <c r="L1" s="438" t="s">
        <v>103</v>
      </c>
      <c r="M1" s="431" t="s">
        <v>104</v>
      </c>
    </row>
    <row r="2" spans="1:13">
      <c r="A2" s="60"/>
      <c r="B2" s="951" t="s">
        <v>1198</v>
      </c>
      <c r="C2" s="921"/>
      <c r="D2" s="921"/>
      <c r="E2" s="921"/>
      <c r="F2" s="921"/>
      <c r="G2" s="921"/>
      <c r="H2" s="921"/>
      <c r="I2" s="921"/>
      <c r="J2" s="921"/>
      <c r="K2" s="921"/>
      <c r="L2" s="921"/>
      <c r="M2" s="922"/>
    </row>
    <row r="3" spans="1:13">
      <c r="A3" s="57">
        <v>1</v>
      </c>
      <c r="B3" s="270" t="s">
        <v>1199</v>
      </c>
      <c r="C3" s="94" t="s">
        <v>1200</v>
      </c>
      <c r="D3" s="321" t="s">
        <v>1201</v>
      </c>
      <c r="E3" s="665"/>
      <c r="F3" s="772"/>
      <c r="G3" s="96" t="s">
        <v>1202</v>
      </c>
      <c r="H3" s="97" t="s">
        <v>142</v>
      </c>
      <c r="I3" s="394">
        <v>5</v>
      </c>
      <c r="J3" s="91">
        <f>(K3*8%)+K3</f>
        <v>0</v>
      </c>
      <c r="K3" s="784"/>
      <c r="L3" s="439">
        <f>K3/144</f>
        <v>0</v>
      </c>
      <c r="M3" s="133">
        <f>I3*K3</f>
        <v>0</v>
      </c>
    </row>
    <row r="4" spans="1:13">
      <c r="A4" s="63"/>
      <c r="B4" s="440"/>
      <c r="C4" s="77" t="s">
        <v>1203</v>
      </c>
      <c r="D4" s="401" t="s">
        <v>1201</v>
      </c>
      <c r="E4" s="664"/>
      <c r="F4" s="773"/>
      <c r="G4" s="79" t="s">
        <v>1204</v>
      </c>
      <c r="H4" s="80" t="s">
        <v>142</v>
      </c>
      <c r="I4" s="392">
        <v>5</v>
      </c>
      <c r="J4" s="290"/>
      <c r="K4" s="785"/>
      <c r="L4" s="441"/>
      <c r="M4" s="293"/>
    </row>
    <row r="5" spans="1:13">
      <c r="A5" s="57">
        <v>2</v>
      </c>
      <c r="B5" s="116" t="s">
        <v>1205</v>
      </c>
      <c r="C5" s="442" t="s">
        <v>1206</v>
      </c>
      <c r="D5" s="443"/>
      <c r="E5" s="774"/>
      <c r="F5" s="719"/>
      <c r="G5" s="119" t="s">
        <v>1207</v>
      </c>
      <c r="H5" s="120" t="s">
        <v>142</v>
      </c>
      <c r="I5" s="121">
        <v>5</v>
      </c>
      <c r="J5" s="82">
        <f t="shared" ref="J5:J10" si="0">(K5*8%)+K5</f>
        <v>0</v>
      </c>
      <c r="K5" s="677"/>
      <c r="L5" s="328">
        <f>K5/144</f>
        <v>0</v>
      </c>
      <c r="M5" s="123">
        <f>I5*K5</f>
        <v>0</v>
      </c>
    </row>
    <row r="6" spans="1:13">
      <c r="A6" s="63"/>
      <c r="B6" s="112"/>
      <c r="C6" s="444" t="s">
        <v>1208</v>
      </c>
      <c r="D6" s="445" t="s">
        <v>604</v>
      </c>
      <c r="E6" s="775"/>
      <c r="F6" s="726"/>
      <c r="G6" s="79" t="s">
        <v>1209</v>
      </c>
      <c r="H6" s="80"/>
      <c r="I6" s="81"/>
      <c r="J6" s="91">
        <f t="shared" si="0"/>
        <v>0</v>
      </c>
      <c r="K6" s="679"/>
      <c r="L6" s="158"/>
      <c r="M6" s="293"/>
    </row>
    <row r="7" spans="1:13">
      <c r="A7" s="53">
        <v>3</v>
      </c>
      <c r="B7" s="76" t="s">
        <v>1210</v>
      </c>
      <c r="C7" s="131" t="s">
        <v>1211</v>
      </c>
      <c r="D7" s="446" t="s">
        <v>604</v>
      </c>
      <c r="E7" s="665"/>
      <c r="F7" s="718"/>
      <c r="G7" s="96" t="s">
        <v>230</v>
      </c>
      <c r="H7" s="97" t="s">
        <v>142</v>
      </c>
      <c r="I7" s="98">
        <v>10</v>
      </c>
      <c r="J7" s="91">
        <f t="shared" si="0"/>
        <v>0</v>
      </c>
      <c r="K7" s="674"/>
      <c r="L7" s="156">
        <f>K7/144</f>
        <v>0</v>
      </c>
      <c r="M7" s="100">
        <f>K7*I7</f>
        <v>0</v>
      </c>
    </row>
    <row r="8" spans="1:13">
      <c r="B8" s="112"/>
      <c r="C8" s="157"/>
      <c r="D8" s="447"/>
      <c r="E8" s="776"/>
      <c r="F8" s="726"/>
      <c r="G8" s="214" t="s">
        <v>1212</v>
      </c>
      <c r="H8" s="80"/>
      <c r="I8" s="81"/>
      <c r="J8" s="91">
        <f t="shared" si="0"/>
        <v>0</v>
      </c>
      <c r="K8" s="679"/>
      <c r="L8" s="158"/>
      <c r="M8" s="293"/>
    </row>
    <row r="9" spans="1:13">
      <c r="A9" s="53">
        <v>4</v>
      </c>
      <c r="B9" s="76" t="s">
        <v>1213</v>
      </c>
      <c r="C9" s="131" t="s">
        <v>1214</v>
      </c>
      <c r="D9" s="321" t="s">
        <v>216</v>
      </c>
      <c r="E9" s="665"/>
      <c r="F9" s="718"/>
      <c r="G9" s="96" t="s">
        <v>230</v>
      </c>
      <c r="H9" s="97" t="s">
        <v>142</v>
      </c>
      <c r="I9" s="98">
        <v>5</v>
      </c>
      <c r="J9" s="91">
        <f t="shared" si="0"/>
        <v>0</v>
      </c>
      <c r="K9" s="674"/>
      <c r="L9" s="156">
        <f>K9/10</f>
        <v>0</v>
      </c>
      <c r="M9" s="100">
        <f>I9*K9</f>
        <v>0</v>
      </c>
    </row>
    <row r="10" spans="1:13">
      <c r="B10" s="116"/>
      <c r="C10" s="136"/>
      <c r="D10" s="130"/>
      <c r="E10" s="663"/>
      <c r="F10" s="719"/>
      <c r="G10" s="119" t="s">
        <v>1215</v>
      </c>
      <c r="H10" s="120"/>
      <c r="I10" s="121"/>
      <c r="J10" s="91">
        <f t="shared" si="0"/>
        <v>0</v>
      </c>
      <c r="K10" s="678"/>
      <c r="L10" s="159" t="s">
        <v>198</v>
      </c>
      <c r="M10" s="123"/>
    </row>
    <row r="11" spans="1:13">
      <c r="A11" s="53">
        <v>5</v>
      </c>
      <c r="B11" s="76" t="s">
        <v>1216</v>
      </c>
      <c r="C11" s="147" t="s">
        <v>1217</v>
      </c>
      <c r="D11" s="448" t="s">
        <v>1218</v>
      </c>
      <c r="E11" s="656"/>
      <c r="F11" s="718"/>
      <c r="G11" s="96" t="s">
        <v>1219</v>
      </c>
      <c r="H11" s="97" t="s">
        <v>911</v>
      </c>
      <c r="I11" s="98">
        <v>15</v>
      </c>
      <c r="J11" s="91"/>
      <c r="K11" s="674"/>
      <c r="L11" s="156">
        <f t="shared" ref="L11:L13" si="1">K11/200</f>
        <v>0</v>
      </c>
      <c r="M11" s="100"/>
    </row>
    <row r="12" spans="1:13">
      <c r="A12" s="53">
        <v>6</v>
      </c>
      <c r="B12" s="116"/>
      <c r="C12" s="239" t="s">
        <v>1220</v>
      </c>
      <c r="D12" s="449" t="s">
        <v>1218</v>
      </c>
      <c r="E12" s="777"/>
      <c r="F12" s="719"/>
      <c r="G12" s="119" t="s">
        <v>1221</v>
      </c>
      <c r="H12" s="120" t="s">
        <v>911</v>
      </c>
      <c r="I12" s="121">
        <v>15</v>
      </c>
      <c r="J12" s="187"/>
      <c r="K12" s="678"/>
      <c r="L12" s="159">
        <f t="shared" si="1"/>
        <v>0</v>
      </c>
      <c r="M12" s="123"/>
    </row>
    <row r="13" spans="1:13">
      <c r="A13" s="53">
        <v>7</v>
      </c>
      <c r="B13" s="112"/>
      <c r="C13" s="134" t="s">
        <v>1222</v>
      </c>
      <c r="D13" s="334"/>
      <c r="E13" s="776"/>
      <c r="F13" s="726"/>
      <c r="G13" s="79" t="s">
        <v>1223</v>
      </c>
      <c r="H13" s="80" t="s">
        <v>911</v>
      </c>
      <c r="I13" s="81">
        <v>15</v>
      </c>
      <c r="J13" s="290"/>
      <c r="K13" s="679"/>
      <c r="L13" s="158">
        <f t="shared" si="1"/>
        <v>0</v>
      </c>
      <c r="M13" s="115"/>
    </row>
    <row r="14" spans="1:13">
      <c r="A14" s="53">
        <v>8</v>
      </c>
      <c r="B14" s="112" t="s">
        <v>1224</v>
      </c>
      <c r="C14" s="134" t="s">
        <v>1225</v>
      </c>
      <c r="D14" s="450" t="s">
        <v>1226</v>
      </c>
      <c r="E14" s="776"/>
      <c r="F14" s="726"/>
      <c r="G14" s="79" t="s">
        <v>1227</v>
      </c>
      <c r="H14" s="80" t="s">
        <v>1228</v>
      </c>
      <c r="I14" s="81">
        <v>20</v>
      </c>
      <c r="J14" s="187">
        <f t="shared" ref="J14:J15" si="2">(K14*8%)+K14</f>
        <v>0</v>
      </c>
      <c r="K14" s="679"/>
      <c r="L14" s="158">
        <f t="shared" ref="L14:L15" si="3">K14/144</f>
        <v>0</v>
      </c>
      <c r="M14" s="115">
        <f t="shared" ref="M14:M15" si="4">I14*K14</f>
        <v>0</v>
      </c>
    </row>
    <row r="15" spans="1:13">
      <c r="A15" s="53">
        <v>9</v>
      </c>
      <c r="B15" s="116" t="s">
        <v>1229</v>
      </c>
      <c r="C15" s="153" t="s">
        <v>1230</v>
      </c>
      <c r="D15" s="451" t="s">
        <v>1231</v>
      </c>
      <c r="E15" s="730"/>
      <c r="F15" s="719"/>
      <c r="G15" s="233" t="s">
        <v>1232</v>
      </c>
      <c r="H15" s="120" t="s">
        <v>142</v>
      </c>
      <c r="I15" s="121">
        <v>20</v>
      </c>
      <c r="J15" s="106">
        <f t="shared" si="2"/>
        <v>0</v>
      </c>
      <c r="K15" s="680"/>
      <c r="L15" s="301">
        <f t="shared" si="3"/>
        <v>0</v>
      </c>
      <c r="M15" s="123">
        <f t="shared" si="4"/>
        <v>0</v>
      </c>
    </row>
    <row r="16" spans="1:13">
      <c r="B16" s="76" t="s">
        <v>1233</v>
      </c>
      <c r="C16" s="222" t="s">
        <v>1234</v>
      </c>
      <c r="D16" s="302"/>
      <c r="E16" s="660"/>
      <c r="F16" s="657"/>
      <c r="G16" s="96"/>
      <c r="H16" s="97"/>
      <c r="I16" s="98"/>
      <c r="J16" s="106"/>
      <c r="K16" s="676"/>
      <c r="L16" s="169"/>
      <c r="M16" s="100"/>
    </row>
    <row r="17" spans="1:13">
      <c r="A17" s="53">
        <v>10</v>
      </c>
      <c r="B17" s="116"/>
      <c r="C17" s="452" t="s">
        <v>1235</v>
      </c>
      <c r="D17" s="419" t="s">
        <v>1236</v>
      </c>
      <c r="E17" s="669"/>
      <c r="F17" s="662"/>
      <c r="G17" s="119" t="s">
        <v>1237</v>
      </c>
      <c r="H17" s="120" t="s">
        <v>142</v>
      </c>
      <c r="I17" s="121">
        <v>2700</v>
      </c>
      <c r="J17" s="140"/>
      <c r="K17" s="681"/>
      <c r="L17" s="200">
        <f t="shared" ref="L17:L20" si="5">K17/40</f>
        <v>0</v>
      </c>
      <c r="M17" s="123">
        <f>K17*I17</f>
        <v>0</v>
      </c>
    </row>
    <row r="18" spans="1:13">
      <c r="A18" s="53">
        <v>11</v>
      </c>
      <c r="B18" s="116"/>
      <c r="C18" s="452" t="s">
        <v>1238</v>
      </c>
      <c r="D18" s="419" t="s">
        <v>1236</v>
      </c>
      <c r="E18" s="669"/>
      <c r="F18" s="662"/>
      <c r="G18" s="119"/>
      <c r="H18" s="120"/>
      <c r="I18" s="121"/>
      <c r="J18" s="140"/>
      <c r="K18" s="681"/>
      <c r="L18" s="200">
        <f t="shared" si="5"/>
        <v>0</v>
      </c>
      <c r="M18" s="123"/>
    </row>
    <row r="19" spans="1:13">
      <c r="A19" s="53">
        <v>12</v>
      </c>
      <c r="B19" s="116"/>
      <c r="C19" s="452" t="s">
        <v>1239</v>
      </c>
      <c r="D19" s="419" t="s">
        <v>1236</v>
      </c>
      <c r="E19" s="669"/>
      <c r="F19" s="662"/>
      <c r="G19" s="119"/>
      <c r="H19" s="120"/>
      <c r="I19" s="121"/>
      <c r="J19" s="140"/>
      <c r="K19" s="681"/>
      <c r="L19" s="200">
        <f t="shared" si="5"/>
        <v>0</v>
      </c>
      <c r="M19" s="123"/>
    </row>
    <row r="20" spans="1:13">
      <c r="A20" s="53">
        <v>13</v>
      </c>
      <c r="B20" s="116"/>
      <c r="C20" s="452" t="s">
        <v>1240</v>
      </c>
      <c r="D20" s="419" t="s">
        <v>1236</v>
      </c>
      <c r="E20" s="669"/>
      <c r="F20" s="662"/>
      <c r="G20" s="119"/>
      <c r="H20" s="120"/>
      <c r="I20" s="121"/>
      <c r="J20" s="140"/>
      <c r="K20" s="681"/>
      <c r="L20" s="200">
        <f t="shared" si="5"/>
        <v>0</v>
      </c>
      <c r="M20" s="123"/>
    </row>
    <row r="21" spans="1:13">
      <c r="A21" s="53">
        <v>14</v>
      </c>
      <c r="B21" s="116"/>
      <c r="C21" s="452" t="s">
        <v>1241</v>
      </c>
      <c r="D21" s="298" t="s">
        <v>1242</v>
      </c>
      <c r="E21" s="669"/>
      <c r="F21" s="662"/>
      <c r="G21" s="119"/>
      <c r="H21" s="120"/>
      <c r="I21" s="121"/>
      <c r="J21" s="140"/>
      <c r="K21" s="681"/>
      <c r="L21" s="200">
        <f t="shared" ref="L21:L22" si="6">K21/44</f>
        <v>0</v>
      </c>
      <c r="M21" s="123"/>
    </row>
    <row r="22" spans="1:13">
      <c r="A22" s="53">
        <v>15</v>
      </c>
      <c r="B22" s="116"/>
      <c r="C22" s="452" t="s">
        <v>1243</v>
      </c>
      <c r="D22" s="249" t="s">
        <v>1242</v>
      </c>
      <c r="E22" s="652"/>
      <c r="F22" s="653"/>
      <c r="G22" s="79"/>
      <c r="H22" s="80"/>
      <c r="I22" s="81"/>
      <c r="J22" s="114"/>
      <c r="K22" s="673"/>
      <c r="L22" s="178">
        <f t="shared" si="6"/>
        <v>0</v>
      </c>
      <c r="M22" s="115"/>
    </row>
    <row r="23" spans="1:13">
      <c r="A23" s="53">
        <v>16</v>
      </c>
      <c r="B23" s="76" t="s">
        <v>1244</v>
      </c>
      <c r="C23" s="131" t="s">
        <v>1245</v>
      </c>
      <c r="D23" s="419" t="s">
        <v>1246</v>
      </c>
      <c r="E23" s="669"/>
      <c r="F23" s="719"/>
      <c r="G23" s="119" t="s">
        <v>1247</v>
      </c>
      <c r="H23" s="120" t="s">
        <v>142</v>
      </c>
      <c r="I23" s="121">
        <v>9</v>
      </c>
      <c r="J23" s="140">
        <f t="shared" ref="J23:J27" si="7">(K23*8%)+K23</f>
        <v>0</v>
      </c>
      <c r="K23" s="681"/>
      <c r="L23" s="200">
        <f t="shared" ref="L23:L27" si="8">K23/24</f>
        <v>0</v>
      </c>
      <c r="M23" s="123">
        <f t="shared" ref="M23:M27" si="9">I23*K23</f>
        <v>0</v>
      </c>
    </row>
    <row r="24" spans="1:13">
      <c r="A24" s="53">
        <v>17</v>
      </c>
      <c r="B24" s="116"/>
      <c r="C24" s="136" t="s">
        <v>1248</v>
      </c>
      <c r="D24" s="419" t="s">
        <v>1246</v>
      </c>
      <c r="E24" s="669"/>
      <c r="F24" s="719"/>
      <c r="G24" s="119" t="s">
        <v>1249</v>
      </c>
      <c r="H24" s="120" t="s">
        <v>142</v>
      </c>
      <c r="I24" s="121">
        <v>6</v>
      </c>
      <c r="J24" s="140">
        <f t="shared" si="7"/>
        <v>0</v>
      </c>
      <c r="K24" s="681"/>
      <c r="L24" s="200">
        <f t="shared" si="8"/>
        <v>0</v>
      </c>
      <c r="M24" s="123">
        <f t="shared" si="9"/>
        <v>0</v>
      </c>
    </row>
    <row r="25" spans="1:13">
      <c r="A25" s="53">
        <v>18</v>
      </c>
      <c r="B25" s="116"/>
      <c r="C25" s="136" t="s">
        <v>1250</v>
      </c>
      <c r="D25" s="419" t="s">
        <v>1246</v>
      </c>
      <c r="E25" s="669"/>
      <c r="F25" s="719"/>
      <c r="G25" s="119" t="s">
        <v>1251</v>
      </c>
      <c r="H25" s="120" t="s">
        <v>142</v>
      </c>
      <c r="I25" s="121">
        <v>8</v>
      </c>
      <c r="J25" s="140">
        <f t="shared" si="7"/>
        <v>0</v>
      </c>
      <c r="K25" s="681"/>
      <c r="L25" s="200">
        <f t="shared" si="8"/>
        <v>0</v>
      </c>
      <c r="M25" s="123">
        <f t="shared" si="9"/>
        <v>0</v>
      </c>
    </row>
    <row r="26" spans="1:13">
      <c r="A26" s="53">
        <v>19</v>
      </c>
      <c r="B26" s="116"/>
      <c r="C26" s="135"/>
      <c r="D26" s="419" t="s">
        <v>1246</v>
      </c>
      <c r="E26" s="669"/>
      <c r="F26" s="719"/>
      <c r="G26" s="119" t="s">
        <v>1252</v>
      </c>
      <c r="H26" s="120" t="s">
        <v>142</v>
      </c>
      <c r="I26" s="121">
        <v>4</v>
      </c>
      <c r="J26" s="140">
        <f t="shared" si="7"/>
        <v>0</v>
      </c>
      <c r="K26" s="681"/>
      <c r="L26" s="200">
        <f t="shared" si="8"/>
        <v>0</v>
      </c>
      <c r="M26" s="123">
        <f t="shared" si="9"/>
        <v>0</v>
      </c>
    </row>
    <row r="27" spans="1:13">
      <c r="A27" s="53">
        <v>20</v>
      </c>
      <c r="B27" s="116"/>
      <c r="C27" s="135"/>
      <c r="D27" s="419" t="s">
        <v>1246</v>
      </c>
      <c r="E27" s="669"/>
      <c r="F27" s="719"/>
      <c r="G27" s="119" t="s">
        <v>1253</v>
      </c>
      <c r="H27" s="120" t="s">
        <v>142</v>
      </c>
      <c r="I27" s="121">
        <v>6</v>
      </c>
      <c r="J27" s="140">
        <f t="shared" si="7"/>
        <v>0</v>
      </c>
      <c r="K27" s="681"/>
      <c r="L27" s="200">
        <f t="shared" si="8"/>
        <v>0</v>
      </c>
      <c r="M27" s="123">
        <f t="shared" si="9"/>
        <v>0</v>
      </c>
    </row>
    <row r="28" spans="1:13">
      <c r="B28" s="76" t="s">
        <v>1244</v>
      </c>
      <c r="C28" s="131" t="s">
        <v>1245</v>
      </c>
      <c r="D28" s="241" t="s">
        <v>1254</v>
      </c>
      <c r="E28" s="778"/>
      <c r="F28" s="778"/>
      <c r="G28" s="296" t="s">
        <v>1255</v>
      </c>
      <c r="H28" s="296" t="s">
        <v>142</v>
      </c>
      <c r="I28" s="453">
        <v>40</v>
      </c>
      <c r="J28" s="76"/>
      <c r="K28" s="786"/>
      <c r="L28" s="454">
        <f t="shared" ref="L28:L44" si="10">K28/24</f>
        <v>0</v>
      </c>
      <c r="M28" s="455">
        <f>K28*I28</f>
        <v>0</v>
      </c>
    </row>
    <row r="29" spans="1:13">
      <c r="A29" s="53">
        <v>21</v>
      </c>
      <c r="B29" s="116"/>
      <c r="C29" s="253" t="s">
        <v>1256</v>
      </c>
      <c r="D29" s="253" t="s">
        <v>1254</v>
      </c>
      <c r="E29" s="779"/>
      <c r="F29" s="779"/>
      <c r="G29" s="456" t="s">
        <v>1257</v>
      </c>
      <c r="H29" s="120"/>
      <c r="I29" s="116"/>
      <c r="J29" s="116"/>
      <c r="K29" s="787"/>
      <c r="L29" s="457">
        <f t="shared" si="10"/>
        <v>0</v>
      </c>
      <c r="M29" s="458"/>
    </row>
    <row r="30" spans="1:13">
      <c r="A30" s="53">
        <v>22</v>
      </c>
      <c r="B30" s="116"/>
      <c r="C30" s="253" t="s">
        <v>1258</v>
      </c>
      <c r="D30" s="253" t="s">
        <v>1254</v>
      </c>
      <c r="E30" s="779"/>
      <c r="F30" s="779"/>
      <c r="G30" s="456" t="s">
        <v>1259</v>
      </c>
      <c r="H30" s="120"/>
      <c r="I30" s="116"/>
      <c r="J30" s="116"/>
      <c r="K30" s="787"/>
      <c r="L30" s="457">
        <f t="shared" si="10"/>
        <v>0</v>
      </c>
      <c r="M30" s="458"/>
    </row>
    <row r="31" spans="1:13">
      <c r="A31" s="53">
        <v>23</v>
      </c>
      <c r="B31" s="116"/>
      <c r="C31" s="116"/>
      <c r="D31" s="253" t="s">
        <v>1254</v>
      </c>
      <c r="E31" s="779"/>
      <c r="F31" s="779"/>
      <c r="G31" s="456" t="s">
        <v>1260</v>
      </c>
      <c r="H31" s="120"/>
      <c r="I31" s="116"/>
      <c r="J31" s="116"/>
      <c r="K31" s="787"/>
      <c r="L31" s="457">
        <f t="shared" si="10"/>
        <v>0</v>
      </c>
      <c r="M31" s="458"/>
    </row>
    <row r="32" spans="1:13">
      <c r="A32" s="53">
        <v>24</v>
      </c>
      <c r="B32" s="116"/>
      <c r="C32" s="116"/>
      <c r="D32" s="253" t="s">
        <v>1254</v>
      </c>
      <c r="E32" s="779"/>
      <c r="F32" s="779"/>
      <c r="G32" s="456" t="s">
        <v>1261</v>
      </c>
      <c r="H32" s="120"/>
      <c r="I32" s="116"/>
      <c r="J32" s="116"/>
      <c r="K32" s="787"/>
      <c r="L32" s="457">
        <f t="shared" si="10"/>
        <v>0</v>
      </c>
      <c r="M32" s="458"/>
    </row>
    <row r="33" spans="1:13">
      <c r="A33" s="53">
        <v>25</v>
      </c>
      <c r="B33" s="116"/>
      <c r="C33" s="116"/>
      <c r="D33" s="253" t="s">
        <v>1254</v>
      </c>
      <c r="E33" s="779"/>
      <c r="F33" s="779"/>
      <c r="G33" s="456" t="s">
        <v>1262</v>
      </c>
      <c r="H33" s="120"/>
      <c r="I33" s="116"/>
      <c r="J33" s="116"/>
      <c r="K33" s="787"/>
      <c r="L33" s="457">
        <f t="shared" si="10"/>
        <v>0</v>
      </c>
      <c r="M33" s="458"/>
    </row>
    <row r="34" spans="1:13">
      <c r="A34" s="53">
        <v>26</v>
      </c>
      <c r="B34" s="116"/>
      <c r="C34" s="116"/>
      <c r="D34" s="253" t="s">
        <v>1254</v>
      </c>
      <c r="E34" s="779"/>
      <c r="F34" s="779"/>
      <c r="G34" s="456" t="s">
        <v>1263</v>
      </c>
      <c r="H34" s="116"/>
      <c r="I34" s="116"/>
      <c r="J34" s="116"/>
      <c r="K34" s="787"/>
      <c r="L34" s="457">
        <f t="shared" si="10"/>
        <v>0</v>
      </c>
      <c r="M34" s="458"/>
    </row>
    <row r="35" spans="1:13">
      <c r="A35" s="53">
        <v>27</v>
      </c>
      <c r="B35" s="116"/>
      <c r="C35" s="153"/>
      <c r="D35" s="253" t="s">
        <v>1254</v>
      </c>
      <c r="E35" s="780"/>
      <c r="F35" s="719"/>
      <c r="G35" s="456" t="s">
        <v>1264</v>
      </c>
      <c r="H35" s="120"/>
      <c r="I35" s="121"/>
      <c r="J35" s="140"/>
      <c r="K35" s="788"/>
      <c r="L35" s="457">
        <f t="shared" si="10"/>
        <v>0</v>
      </c>
      <c r="M35" s="182"/>
    </row>
    <row r="36" spans="1:13">
      <c r="A36" s="53">
        <v>28</v>
      </c>
      <c r="B36" s="116"/>
      <c r="C36" s="153"/>
      <c r="D36" s="253" t="s">
        <v>1254</v>
      </c>
      <c r="E36" s="780"/>
      <c r="F36" s="719"/>
      <c r="G36" s="456" t="s">
        <v>1265</v>
      </c>
      <c r="H36" s="120"/>
      <c r="I36" s="121"/>
      <c r="J36" s="140"/>
      <c r="K36" s="788"/>
      <c r="L36" s="457">
        <f t="shared" si="10"/>
        <v>0</v>
      </c>
      <c r="M36" s="182"/>
    </row>
    <row r="37" spans="1:13">
      <c r="A37" s="53">
        <v>29</v>
      </c>
      <c r="B37" s="116"/>
      <c r="C37" s="153"/>
      <c r="D37" s="253" t="s">
        <v>1254</v>
      </c>
      <c r="E37" s="780"/>
      <c r="F37" s="719"/>
      <c r="G37" s="456" t="s">
        <v>1266</v>
      </c>
      <c r="H37" s="120"/>
      <c r="I37" s="121"/>
      <c r="J37" s="140"/>
      <c r="K37" s="788"/>
      <c r="L37" s="457">
        <f t="shared" si="10"/>
        <v>0</v>
      </c>
      <c r="M37" s="182"/>
    </row>
    <row r="38" spans="1:13">
      <c r="B38" s="241" t="s">
        <v>1267</v>
      </c>
      <c r="C38" s="138" t="s">
        <v>1268</v>
      </c>
      <c r="D38" s="95" t="s">
        <v>1269</v>
      </c>
      <c r="E38" s="730"/>
      <c r="F38" s="718"/>
      <c r="G38" s="168" t="s">
        <v>1270</v>
      </c>
      <c r="H38" s="296" t="s">
        <v>142</v>
      </c>
      <c r="I38" s="228">
        <v>30</v>
      </c>
      <c r="J38" s="106"/>
      <c r="K38" s="747"/>
      <c r="L38" s="459">
        <f t="shared" si="10"/>
        <v>0</v>
      </c>
      <c r="M38" s="195">
        <f>K38*I38</f>
        <v>0</v>
      </c>
    </row>
    <row r="39" spans="1:13">
      <c r="A39" s="53">
        <v>30</v>
      </c>
      <c r="B39" s="116"/>
      <c r="C39" s="153"/>
      <c r="D39" s="342"/>
      <c r="E39" s="780"/>
      <c r="F39" s="719"/>
      <c r="G39" s="199" t="s">
        <v>1271</v>
      </c>
      <c r="H39" s="120"/>
      <c r="I39" s="121"/>
      <c r="J39" s="140"/>
      <c r="K39" s="788"/>
      <c r="L39" s="200">
        <f t="shared" si="10"/>
        <v>0</v>
      </c>
      <c r="M39" s="182"/>
    </row>
    <row r="40" spans="1:13">
      <c r="A40" s="53">
        <v>31</v>
      </c>
      <c r="B40" s="116"/>
      <c r="C40" s="153"/>
      <c r="D40" s="342"/>
      <c r="E40" s="780"/>
      <c r="F40" s="719"/>
      <c r="G40" s="199" t="s">
        <v>1272</v>
      </c>
      <c r="H40" s="120"/>
      <c r="I40" s="121"/>
      <c r="J40" s="140"/>
      <c r="K40" s="788"/>
      <c r="L40" s="200">
        <f t="shared" si="10"/>
        <v>0</v>
      </c>
      <c r="M40" s="182"/>
    </row>
    <row r="41" spans="1:13">
      <c r="A41" s="53">
        <v>32</v>
      </c>
      <c r="B41" s="116"/>
      <c r="C41" s="153"/>
      <c r="D41" s="342"/>
      <c r="E41" s="780"/>
      <c r="F41" s="719"/>
      <c r="G41" s="199" t="s">
        <v>1273</v>
      </c>
      <c r="H41" s="120"/>
      <c r="I41" s="121"/>
      <c r="J41" s="140"/>
      <c r="K41" s="788"/>
      <c r="L41" s="200">
        <f t="shared" si="10"/>
        <v>0</v>
      </c>
      <c r="M41" s="182"/>
    </row>
    <row r="42" spans="1:13">
      <c r="A42" s="53">
        <v>33</v>
      </c>
      <c r="B42" s="116"/>
      <c r="C42" s="153"/>
      <c r="D42" s="342"/>
      <c r="E42" s="780"/>
      <c r="F42" s="719"/>
      <c r="G42" s="199" t="s">
        <v>1274</v>
      </c>
      <c r="H42" s="120"/>
      <c r="I42" s="121"/>
      <c r="J42" s="140"/>
      <c r="K42" s="788"/>
      <c r="L42" s="200">
        <f t="shared" si="10"/>
        <v>0</v>
      </c>
      <c r="M42" s="182"/>
    </row>
    <row r="43" spans="1:13">
      <c r="A43" s="53">
        <v>34</v>
      </c>
      <c r="B43" s="116"/>
      <c r="C43" s="153"/>
      <c r="D43" s="342"/>
      <c r="E43" s="780"/>
      <c r="F43" s="719"/>
      <c r="G43" s="199" t="s">
        <v>1275</v>
      </c>
      <c r="H43" s="120"/>
      <c r="I43" s="121"/>
      <c r="J43" s="140"/>
      <c r="K43" s="788"/>
      <c r="L43" s="200">
        <f t="shared" si="10"/>
        <v>0</v>
      </c>
      <c r="M43" s="182"/>
    </row>
    <row r="44" spans="1:13">
      <c r="A44" s="53">
        <v>35</v>
      </c>
      <c r="B44" s="116"/>
      <c r="C44" s="153"/>
      <c r="D44" s="342"/>
      <c r="E44" s="780"/>
      <c r="F44" s="719"/>
      <c r="G44" s="199" t="s">
        <v>1276</v>
      </c>
      <c r="H44" s="120"/>
      <c r="I44" s="121"/>
      <c r="J44" s="140"/>
      <c r="K44" s="788"/>
      <c r="L44" s="200">
        <f t="shared" si="10"/>
        <v>0</v>
      </c>
      <c r="M44" s="182"/>
    </row>
    <row r="45" spans="1:13">
      <c r="B45" s="241" t="s">
        <v>1277</v>
      </c>
      <c r="C45" s="138" t="s">
        <v>1278</v>
      </c>
      <c r="D45" s="95" t="s">
        <v>1279</v>
      </c>
      <c r="E45" s="730"/>
      <c r="F45" s="718"/>
      <c r="G45" s="168" t="s">
        <v>1280</v>
      </c>
      <c r="H45" s="296" t="s">
        <v>142</v>
      </c>
      <c r="I45" s="228">
        <v>25</v>
      </c>
      <c r="J45" s="106"/>
      <c r="K45" s="747"/>
      <c r="L45" s="169">
        <f t="shared" ref="L45:L50" si="11">K45/8</f>
        <v>0</v>
      </c>
      <c r="M45" s="195">
        <f>K45*I45</f>
        <v>0</v>
      </c>
    </row>
    <row r="46" spans="1:13">
      <c r="A46" s="53">
        <v>36</v>
      </c>
      <c r="B46" s="116"/>
      <c r="C46" s="153"/>
      <c r="D46" s="342"/>
      <c r="E46" s="780"/>
      <c r="F46" s="719"/>
      <c r="G46" s="199" t="s">
        <v>1281</v>
      </c>
      <c r="H46" s="120"/>
      <c r="I46" s="121"/>
      <c r="J46" s="140"/>
      <c r="K46" s="788"/>
      <c r="L46" s="200">
        <f t="shared" si="11"/>
        <v>0</v>
      </c>
      <c r="M46" s="182"/>
    </row>
    <row r="47" spans="1:13">
      <c r="A47" s="53">
        <v>37</v>
      </c>
      <c r="B47" s="116"/>
      <c r="C47" s="153"/>
      <c r="D47" s="342"/>
      <c r="E47" s="780"/>
      <c r="F47" s="719"/>
      <c r="G47" s="199" t="s">
        <v>1282</v>
      </c>
      <c r="H47" s="120"/>
      <c r="I47" s="121"/>
      <c r="J47" s="140"/>
      <c r="K47" s="788"/>
      <c r="L47" s="200">
        <f t="shared" si="11"/>
        <v>0</v>
      </c>
      <c r="M47" s="182"/>
    </row>
    <row r="48" spans="1:13">
      <c r="A48" s="53">
        <v>38</v>
      </c>
      <c r="B48" s="116"/>
      <c r="C48" s="153"/>
      <c r="D48" s="342"/>
      <c r="E48" s="780"/>
      <c r="F48" s="719"/>
      <c r="G48" s="199" t="s">
        <v>1283</v>
      </c>
      <c r="H48" s="120"/>
      <c r="I48" s="121"/>
      <c r="J48" s="140"/>
      <c r="K48" s="788"/>
      <c r="L48" s="200">
        <f t="shared" si="11"/>
        <v>0</v>
      </c>
      <c r="M48" s="182"/>
    </row>
    <row r="49" spans="1:13">
      <c r="A49" s="53">
        <v>39</v>
      </c>
      <c r="B49" s="116"/>
      <c r="C49" s="153"/>
      <c r="D49" s="342"/>
      <c r="E49" s="780"/>
      <c r="F49" s="719"/>
      <c r="G49" s="199" t="s">
        <v>1284</v>
      </c>
      <c r="H49" s="120"/>
      <c r="I49" s="121"/>
      <c r="J49" s="140"/>
      <c r="K49" s="788"/>
      <c r="L49" s="200">
        <f t="shared" si="11"/>
        <v>0</v>
      </c>
      <c r="M49" s="182"/>
    </row>
    <row r="50" spans="1:13">
      <c r="A50" s="53">
        <v>40</v>
      </c>
      <c r="B50" s="112"/>
      <c r="C50" s="213"/>
      <c r="D50" s="460"/>
      <c r="E50" s="731"/>
      <c r="F50" s="726"/>
      <c r="G50" s="214" t="s">
        <v>1285</v>
      </c>
      <c r="H50" s="80"/>
      <c r="I50" s="81"/>
      <c r="J50" s="114"/>
      <c r="K50" s="789"/>
      <c r="L50" s="178">
        <f t="shared" si="11"/>
        <v>0</v>
      </c>
      <c r="M50" s="184"/>
    </row>
    <row r="51" spans="1:13">
      <c r="A51" s="53">
        <v>41</v>
      </c>
      <c r="B51" s="112" t="s">
        <v>1286</v>
      </c>
      <c r="C51" s="213" t="s">
        <v>1287</v>
      </c>
      <c r="D51" s="460" t="s">
        <v>604</v>
      </c>
      <c r="E51" s="731"/>
      <c r="F51" s="726"/>
      <c r="G51" s="214" t="s">
        <v>1288</v>
      </c>
      <c r="H51" s="80" t="s">
        <v>142</v>
      </c>
      <c r="I51" s="81">
        <v>100</v>
      </c>
      <c r="J51" s="82">
        <f t="shared" ref="J51:J61" si="12">(K51*8%)+K51</f>
        <v>0</v>
      </c>
      <c r="K51" s="673"/>
      <c r="L51" s="178">
        <f t="shared" ref="L51:L54" si="13">K51/144</f>
        <v>0</v>
      </c>
      <c r="M51" s="115">
        <f>I51*K51</f>
        <v>0</v>
      </c>
    </row>
    <row r="52" spans="1:13">
      <c r="A52" s="53">
        <v>42</v>
      </c>
      <c r="B52" s="76" t="s">
        <v>1289</v>
      </c>
      <c r="C52" s="138" t="s">
        <v>1290</v>
      </c>
      <c r="D52" s="460" t="s">
        <v>604</v>
      </c>
      <c r="E52" s="656"/>
      <c r="F52" s="718"/>
      <c r="G52" s="168" t="s">
        <v>1291</v>
      </c>
      <c r="H52" s="97" t="s">
        <v>142</v>
      </c>
      <c r="I52" s="98">
        <v>30</v>
      </c>
      <c r="J52" s="91">
        <f t="shared" si="12"/>
        <v>0</v>
      </c>
      <c r="K52" s="674"/>
      <c r="L52" s="156">
        <f t="shared" si="13"/>
        <v>0</v>
      </c>
      <c r="M52" s="100">
        <f>I51*K52</f>
        <v>0</v>
      </c>
    </row>
    <row r="53" spans="1:13">
      <c r="A53" s="53">
        <v>43</v>
      </c>
      <c r="B53" s="85" t="s">
        <v>1292</v>
      </c>
      <c r="C53" s="160" t="s">
        <v>1293</v>
      </c>
      <c r="D53" s="342" t="s">
        <v>604</v>
      </c>
      <c r="E53" s="670"/>
      <c r="F53" s="759"/>
      <c r="G53" s="151" t="s">
        <v>1294</v>
      </c>
      <c r="H53" s="461" t="s">
        <v>142</v>
      </c>
      <c r="I53" s="166">
        <v>31</v>
      </c>
      <c r="J53" s="91">
        <f t="shared" si="12"/>
        <v>0</v>
      </c>
      <c r="K53" s="672"/>
      <c r="L53" s="161">
        <f t="shared" si="13"/>
        <v>0</v>
      </c>
      <c r="M53" s="152">
        <f t="shared" ref="M53:M54" si="14">I53*K53</f>
        <v>0</v>
      </c>
    </row>
    <row r="54" spans="1:13">
      <c r="A54" s="53">
        <v>44</v>
      </c>
      <c r="B54" s="116" t="s">
        <v>1295</v>
      </c>
      <c r="C54" s="442" t="s">
        <v>1296</v>
      </c>
      <c r="D54" s="95" t="s">
        <v>604</v>
      </c>
      <c r="E54" s="686"/>
      <c r="F54" s="719"/>
      <c r="G54" s="119" t="s">
        <v>1297</v>
      </c>
      <c r="H54" s="120" t="s">
        <v>142</v>
      </c>
      <c r="I54" s="121">
        <v>80</v>
      </c>
      <c r="J54" s="91">
        <f t="shared" si="12"/>
        <v>0</v>
      </c>
      <c r="K54" s="678"/>
      <c r="L54" s="159">
        <f t="shared" si="13"/>
        <v>0</v>
      </c>
      <c r="M54" s="123">
        <f t="shared" si="14"/>
        <v>0</v>
      </c>
    </row>
    <row r="55" spans="1:13">
      <c r="B55" s="116"/>
      <c r="C55" s="462" t="s">
        <v>1298</v>
      </c>
      <c r="D55" s="130"/>
      <c r="E55" s="686"/>
      <c r="F55" s="719"/>
      <c r="G55" s="119"/>
      <c r="H55" s="120"/>
      <c r="I55" s="326"/>
      <c r="J55" s="91">
        <f t="shared" si="12"/>
        <v>0</v>
      </c>
      <c r="K55" s="678"/>
      <c r="L55" s="154"/>
      <c r="M55" s="155"/>
    </row>
    <row r="56" spans="1:13">
      <c r="B56" s="112"/>
      <c r="C56" s="341" t="s">
        <v>1299</v>
      </c>
      <c r="D56" s="126"/>
      <c r="E56" s="700"/>
      <c r="F56" s="726"/>
      <c r="G56" s="79"/>
      <c r="H56" s="80"/>
      <c r="I56" s="81"/>
      <c r="J56" s="91">
        <f t="shared" si="12"/>
        <v>0</v>
      </c>
      <c r="K56" s="679"/>
      <c r="L56" s="158"/>
      <c r="M56" s="293"/>
    </row>
    <row r="57" spans="1:13">
      <c r="A57" s="53">
        <v>45</v>
      </c>
      <c r="B57" s="116" t="s">
        <v>1300</v>
      </c>
      <c r="C57" s="135" t="s">
        <v>1301</v>
      </c>
      <c r="D57" s="399" t="s">
        <v>162</v>
      </c>
      <c r="E57" s="663"/>
      <c r="F57" s="719"/>
      <c r="G57" s="119" t="s">
        <v>1302</v>
      </c>
      <c r="H57" s="120" t="s">
        <v>142</v>
      </c>
      <c r="I57" s="121">
        <v>21</v>
      </c>
      <c r="J57" s="91">
        <f t="shared" si="12"/>
        <v>0</v>
      </c>
      <c r="K57" s="678"/>
      <c r="L57" s="159">
        <f t="shared" ref="L57:L62" si="15">K57/200</f>
        <v>0</v>
      </c>
      <c r="M57" s="143">
        <f t="shared" ref="M57:M61" si="16">K57*I57</f>
        <v>0</v>
      </c>
    </row>
    <row r="58" spans="1:13">
      <c r="A58" s="53">
        <v>46</v>
      </c>
      <c r="B58" s="116"/>
      <c r="C58" s="136"/>
      <c r="D58" s="399" t="s">
        <v>162</v>
      </c>
      <c r="E58" s="663"/>
      <c r="F58" s="719"/>
      <c r="G58" s="119" t="s">
        <v>1303</v>
      </c>
      <c r="H58" s="120"/>
      <c r="I58" s="121">
        <v>24</v>
      </c>
      <c r="J58" s="91">
        <f t="shared" si="12"/>
        <v>0</v>
      </c>
      <c r="K58" s="678"/>
      <c r="L58" s="159">
        <f t="shared" si="15"/>
        <v>0</v>
      </c>
      <c r="M58" s="143">
        <f t="shared" si="16"/>
        <v>0</v>
      </c>
    </row>
    <row r="59" spans="1:13">
      <c r="A59" s="53">
        <v>47</v>
      </c>
      <c r="B59" s="116"/>
      <c r="C59" s="136"/>
      <c r="D59" s="399" t="s">
        <v>162</v>
      </c>
      <c r="E59" s="663"/>
      <c r="F59" s="719"/>
      <c r="G59" s="119" t="s">
        <v>1304</v>
      </c>
      <c r="H59" s="120"/>
      <c r="I59" s="121">
        <v>22</v>
      </c>
      <c r="J59" s="91">
        <f t="shared" si="12"/>
        <v>0</v>
      </c>
      <c r="K59" s="678"/>
      <c r="L59" s="159">
        <f t="shared" si="15"/>
        <v>0</v>
      </c>
      <c r="M59" s="143">
        <f t="shared" si="16"/>
        <v>0</v>
      </c>
    </row>
    <row r="60" spans="1:13">
      <c r="A60" s="53">
        <v>48</v>
      </c>
      <c r="B60" s="116"/>
      <c r="C60" s="129"/>
      <c r="D60" s="449" t="s">
        <v>1305</v>
      </c>
      <c r="E60" s="777"/>
      <c r="F60" s="719"/>
      <c r="G60" s="119" t="s">
        <v>1306</v>
      </c>
      <c r="H60" s="120"/>
      <c r="I60" s="257">
        <v>5</v>
      </c>
      <c r="J60" s="91">
        <f t="shared" si="12"/>
        <v>0</v>
      </c>
      <c r="K60" s="678"/>
      <c r="L60" s="159">
        <f t="shared" si="15"/>
        <v>0</v>
      </c>
      <c r="M60" s="143">
        <f t="shared" si="16"/>
        <v>0</v>
      </c>
    </row>
    <row r="61" spans="1:13">
      <c r="A61" s="53">
        <v>49</v>
      </c>
      <c r="B61" s="116"/>
      <c r="C61" s="129"/>
      <c r="D61" s="399" t="s">
        <v>1305</v>
      </c>
      <c r="E61" s="663"/>
      <c r="F61" s="719"/>
      <c r="G61" s="119" t="s">
        <v>1307</v>
      </c>
      <c r="H61" s="120"/>
      <c r="I61" s="257">
        <v>5</v>
      </c>
      <c r="J61" s="91">
        <f t="shared" si="12"/>
        <v>0</v>
      </c>
      <c r="K61" s="678"/>
      <c r="L61" s="159">
        <f t="shared" si="15"/>
        <v>0</v>
      </c>
      <c r="M61" s="143">
        <f t="shared" si="16"/>
        <v>0</v>
      </c>
    </row>
    <row r="62" spans="1:13">
      <c r="A62" s="53">
        <v>50</v>
      </c>
      <c r="B62" s="116"/>
      <c r="C62" s="129"/>
      <c r="D62" s="463" t="s">
        <v>1305</v>
      </c>
      <c r="E62" s="667"/>
      <c r="F62" s="719"/>
      <c r="G62" s="199" t="s">
        <v>1308</v>
      </c>
      <c r="H62" s="120"/>
      <c r="I62" s="257">
        <v>5</v>
      </c>
      <c r="J62" s="91"/>
      <c r="K62" s="680"/>
      <c r="L62" s="159">
        <f t="shared" si="15"/>
        <v>0</v>
      </c>
      <c r="M62" s="155"/>
    </row>
    <row r="63" spans="1:13">
      <c r="B63" s="116"/>
      <c r="C63" s="129"/>
      <c r="D63" s="130"/>
      <c r="E63" s="667"/>
      <c r="F63" s="719"/>
      <c r="G63" s="119" t="s">
        <v>167</v>
      </c>
      <c r="H63" s="120"/>
      <c r="I63" s="121"/>
      <c r="J63" s="106">
        <f t="shared" ref="J63:J103" si="17">(K63*8%)+K63</f>
        <v>0</v>
      </c>
      <c r="K63" s="680"/>
      <c r="L63" s="301"/>
      <c r="M63" s="155"/>
    </row>
    <row r="64" spans="1:13">
      <c r="A64" s="53">
        <v>51</v>
      </c>
      <c r="B64" s="76" t="s">
        <v>1309</v>
      </c>
      <c r="C64" s="132" t="s">
        <v>1310</v>
      </c>
      <c r="D64" s="324" t="s">
        <v>1311</v>
      </c>
      <c r="E64" s="660"/>
      <c r="F64" s="718"/>
      <c r="G64" s="96" t="s">
        <v>230</v>
      </c>
      <c r="H64" s="97"/>
      <c r="I64" s="98"/>
      <c r="J64" s="106">
        <f t="shared" si="17"/>
        <v>0</v>
      </c>
      <c r="K64" s="676"/>
      <c r="L64" s="169"/>
      <c r="M64" s="464"/>
    </row>
    <row r="65" spans="1:13">
      <c r="B65" s="112"/>
      <c r="C65" s="134" t="s">
        <v>1312</v>
      </c>
      <c r="D65" s="421"/>
      <c r="E65" s="652"/>
      <c r="F65" s="726"/>
      <c r="G65" s="79" t="s">
        <v>1313</v>
      </c>
      <c r="H65" s="80" t="s">
        <v>142</v>
      </c>
      <c r="I65" s="81">
        <v>26</v>
      </c>
      <c r="J65" s="114">
        <f t="shared" si="17"/>
        <v>0</v>
      </c>
      <c r="K65" s="673"/>
      <c r="L65" s="178">
        <f>K65/144</f>
        <v>0</v>
      </c>
      <c r="M65" s="84">
        <f t="shared" ref="M65:M66" si="18">I65*K65</f>
        <v>0</v>
      </c>
    </row>
    <row r="66" spans="1:13">
      <c r="A66" s="53">
        <v>52</v>
      </c>
      <c r="B66" s="414" t="s">
        <v>1314</v>
      </c>
      <c r="C66" s="135" t="s">
        <v>1315</v>
      </c>
      <c r="D66" s="419" t="s">
        <v>304</v>
      </c>
      <c r="E66" s="669"/>
      <c r="F66" s="719"/>
      <c r="G66" s="119" t="s">
        <v>230</v>
      </c>
      <c r="H66" s="120" t="s">
        <v>142</v>
      </c>
      <c r="I66" s="121">
        <v>40</v>
      </c>
      <c r="J66" s="140">
        <f t="shared" si="17"/>
        <v>0</v>
      </c>
      <c r="K66" s="681"/>
      <c r="L66" s="200">
        <f>K66/30</f>
        <v>0</v>
      </c>
      <c r="M66" s="123">
        <f t="shared" si="18"/>
        <v>0</v>
      </c>
    </row>
    <row r="67" spans="1:13">
      <c r="B67" s="332"/>
      <c r="C67" s="136"/>
      <c r="D67" s="419"/>
      <c r="E67" s="669"/>
      <c r="F67" s="719"/>
      <c r="G67" s="119" t="s">
        <v>1316</v>
      </c>
      <c r="H67" s="120"/>
      <c r="I67" s="121"/>
      <c r="J67" s="140">
        <f t="shared" si="17"/>
        <v>0</v>
      </c>
      <c r="K67" s="681"/>
      <c r="L67" s="200"/>
      <c r="M67" s="155"/>
    </row>
    <row r="68" spans="1:13">
      <c r="A68" s="53">
        <v>53</v>
      </c>
      <c r="B68" s="270" t="s">
        <v>1317</v>
      </c>
      <c r="C68" s="131" t="s">
        <v>1318</v>
      </c>
      <c r="D68" s="324" t="s">
        <v>304</v>
      </c>
      <c r="E68" s="660"/>
      <c r="F68" s="718"/>
      <c r="G68" s="96" t="s">
        <v>230</v>
      </c>
      <c r="H68" s="97" t="s">
        <v>142</v>
      </c>
      <c r="I68" s="98">
        <v>15</v>
      </c>
      <c r="J68" s="106">
        <f t="shared" si="17"/>
        <v>0</v>
      </c>
      <c r="K68" s="676"/>
      <c r="L68" s="169">
        <f>K68/30</f>
        <v>0</v>
      </c>
      <c r="M68" s="100">
        <f>I68*K68</f>
        <v>0</v>
      </c>
    </row>
    <row r="69" spans="1:13">
      <c r="B69" s="332"/>
      <c r="C69" s="157"/>
      <c r="D69" s="465"/>
      <c r="E69" s="652"/>
      <c r="F69" s="726"/>
      <c r="G69" s="79" t="s">
        <v>1319</v>
      </c>
      <c r="H69" s="80"/>
      <c r="I69" s="81"/>
      <c r="J69" s="114">
        <f t="shared" si="17"/>
        <v>0</v>
      </c>
      <c r="K69" s="673"/>
      <c r="L69" s="178"/>
      <c r="M69" s="293"/>
    </row>
    <row r="70" spans="1:13">
      <c r="B70" s="76" t="s">
        <v>1320</v>
      </c>
      <c r="C70" s="135"/>
      <c r="D70" s="130"/>
      <c r="E70" s="661"/>
      <c r="F70" s="719"/>
      <c r="G70" s="119" t="s">
        <v>230</v>
      </c>
      <c r="H70" s="120"/>
      <c r="I70" s="121"/>
      <c r="J70" s="82">
        <f t="shared" si="17"/>
        <v>0</v>
      </c>
      <c r="K70" s="677"/>
      <c r="L70" s="328"/>
      <c r="M70" s="123"/>
    </row>
    <row r="71" spans="1:13">
      <c r="A71" s="53">
        <v>54</v>
      </c>
      <c r="B71" s="116"/>
      <c r="C71" s="153" t="s">
        <v>1321</v>
      </c>
      <c r="D71" s="399" t="s">
        <v>304</v>
      </c>
      <c r="E71" s="663"/>
      <c r="F71" s="719"/>
      <c r="G71" s="119" t="s">
        <v>1322</v>
      </c>
      <c r="H71" s="120" t="s">
        <v>142</v>
      </c>
      <c r="I71" s="121">
        <v>5</v>
      </c>
      <c r="J71" s="91">
        <f t="shared" si="17"/>
        <v>0</v>
      </c>
      <c r="K71" s="678"/>
      <c r="L71" s="159">
        <f t="shared" ref="L71:L72" si="19">K71/30</f>
        <v>0</v>
      </c>
      <c r="M71" s="123">
        <f t="shared" ref="M71:M73" si="20">I71*K71</f>
        <v>0</v>
      </c>
    </row>
    <row r="72" spans="1:13">
      <c r="A72" s="53">
        <v>55</v>
      </c>
      <c r="B72" s="112"/>
      <c r="C72" s="134" t="s">
        <v>1323</v>
      </c>
      <c r="D72" s="401" t="s">
        <v>1324</v>
      </c>
      <c r="E72" s="664"/>
      <c r="F72" s="726"/>
      <c r="G72" s="79" t="s">
        <v>1325</v>
      </c>
      <c r="H72" s="80" t="s">
        <v>142</v>
      </c>
      <c r="I72" s="81">
        <v>10</v>
      </c>
      <c r="J72" s="91">
        <f t="shared" si="17"/>
        <v>0</v>
      </c>
      <c r="K72" s="679"/>
      <c r="L72" s="158">
        <f t="shared" si="19"/>
        <v>0</v>
      </c>
      <c r="M72" s="84">
        <f t="shared" si="20"/>
        <v>0</v>
      </c>
    </row>
    <row r="73" spans="1:13">
      <c r="A73" s="53">
        <v>56</v>
      </c>
      <c r="B73" s="76" t="s">
        <v>1326</v>
      </c>
      <c r="C73" s="132" t="s">
        <v>1327</v>
      </c>
      <c r="D73" s="302"/>
      <c r="E73" s="665"/>
      <c r="F73" s="718"/>
      <c r="G73" s="96" t="s">
        <v>230</v>
      </c>
      <c r="H73" s="97" t="s">
        <v>142</v>
      </c>
      <c r="I73" s="98">
        <v>50</v>
      </c>
      <c r="J73" s="91">
        <f t="shared" si="17"/>
        <v>0</v>
      </c>
      <c r="K73" s="674"/>
      <c r="L73" s="156">
        <f>K73/10</f>
        <v>0</v>
      </c>
      <c r="M73" s="100">
        <f t="shared" si="20"/>
        <v>0</v>
      </c>
    </row>
    <row r="74" spans="1:13">
      <c r="B74" s="112"/>
      <c r="C74" s="213" t="s">
        <v>1328</v>
      </c>
      <c r="D74" s="401" t="s">
        <v>889</v>
      </c>
      <c r="E74" s="664"/>
      <c r="F74" s="726"/>
      <c r="G74" s="79" t="s">
        <v>1329</v>
      </c>
      <c r="H74" s="80"/>
      <c r="I74" s="81"/>
      <c r="J74" s="91">
        <f t="shared" si="17"/>
        <v>0</v>
      </c>
      <c r="K74" s="679"/>
      <c r="L74" s="158" t="s">
        <v>198</v>
      </c>
      <c r="M74" s="115"/>
    </row>
    <row r="75" spans="1:13">
      <c r="A75" s="53">
        <v>57</v>
      </c>
      <c r="B75" s="116" t="s">
        <v>1330</v>
      </c>
      <c r="C75" s="153" t="s">
        <v>1331</v>
      </c>
      <c r="D75" s="399" t="s">
        <v>889</v>
      </c>
      <c r="E75" s="663"/>
      <c r="F75" s="719"/>
      <c r="G75" s="119" t="s">
        <v>1332</v>
      </c>
      <c r="H75" s="120" t="s">
        <v>142</v>
      </c>
      <c r="I75" s="121">
        <v>10</v>
      </c>
      <c r="J75" s="91">
        <f t="shared" si="17"/>
        <v>0</v>
      </c>
      <c r="K75" s="678"/>
      <c r="L75" s="159">
        <f>K75/50</f>
        <v>0</v>
      </c>
      <c r="M75" s="123">
        <f>L75*K75</f>
        <v>0</v>
      </c>
    </row>
    <row r="76" spans="1:13">
      <c r="B76" s="116"/>
      <c r="C76" s="153" t="s">
        <v>1333</v>
      </c>
      <c r="D76" s="130"/>
      <c r="E76" s="663"/>
      <c r="F76" s="719"/>
      <c r="G76" s="119" t="s">
        <v>167</v>
      </c>
      <c r="H76" s="120"/>
      <c r="I76" s="121"/>
      <c r="J76" s="91">
        <f t="shared" si="17"/>
        <v>0</v>
      </c>
      <c r="K76" s="678"/>
      <c r="L76" s="159" t="s">
        <v>1334</v>
      </c>
      <c r="M76" s="123"/>
    </row>
    <row r="77" spans="1:13">
      <c r="A77" s="53">
        <v>58</v>
      </c>
      <c r="B77" s="76" t="s">
        <v>1335</v>
      </c>
      <c r="C77" s="131" t="s">
        <v>1336</v>
      </c>
      <c r="D77" s="302"/>
      <c r="E77" s="665"/>
      <c r="F77" s="718"/>
      <c r="G77" s="96" t="s">
        <v>230</v>
      </c>
      <c r="H77" s="97" t="s">
        <v>142</v>
      </c>
      <c r="I77" s="98">
        <v>25</v>
      </c>
      <c r="J77" s="91">
        <f t="shared" si="17"/>
        <v>0</v>
      </c>
      <c r="K77" s="674"/>
      <c r="L77" s="156">
        <f>K77/10</f>
        <v>0</v>
      </c>
      <c r="M77" s="100">
        <f>I77*K77</f>
        <v>0</v>
      </c>
    </row>
    <row r="78" spans="1:13">
      <c r="B78" s="116"/>
      <c r="C78" s="153" t="s">
        <v>1337</v>
      </c>
      <c r="D78" s="399" t="s">
        <v>1324</v>
      </c>
      <c r="E78" s="663"/>
      <c r="F78" s="719"/>
      <c r="G78" s="119" t="s">
        <v>1338</v>
      </c>
      <c r="H78" s="120"/>
      <c r="I78" s="121"/>
      <c r="J78" s="91">
        <f t="shared" si="17"/>
        <v>0</v>
      </c>
      <c r="K78" s="678"/>
      <c r="L78" s="159"/>
      <c r="M78" s="123"/>
    </row>
    <row r="79" spans="1:13">
      <c r="B79" s="112"/>
      <c r="C79" s="466" t="s">
        <v>1339</v>
      </c>
      <c r="D79" s="126"/>
      <c r="E79" s="664"/>
      <c r="F79" s="726"/>
      <c r="G79" s="79"/>
      <c r="H79" s="80"/>
      <c r="I79" s="81"/>
      <c r="J79" s="91">
        <f t="shared" si="17"/>
        <v>0</v>
      </c>
      <c r="K79" s="679"/>
      <c r="L79" s="158"/>
      <c r="M79" s="293"/>
    </row>
    <row r="80" spans="1:13">
      <c r="A80" s="53">
        <v>59</v>
      </c>
      <c r="B80" s="76" t="s">
        <v>1340</v>
      </c>
      <c r="C80" s="132" t="s">
        <v>1341</v>
      </c>
      <c r="D80" s="321" t="s">
        <v>1342</v>
      </c>
      <c r="E80" s="665"/>
      <c r="F80" s="718"/>
      <c r="G80" s="96" t="s">
        <v>1343</v>
      </c>
      <c r="H80" s="97" t="s">
        <v>142</v>
      </c>
      <c r="I80" s="98">
        <v>21</v>
      </c>
      <c r="J80" s="91">
        <f t="shared" si="17"/>
        <v>0</v>
      </c>
      <c r="K80" s="674"/>
      <c r="L80" s="156">
        <f>K80/96</f>
        <v>0</v>
      </c>
      <c r="M80" s="100">
        <f t="shared" ref="M80:M81" si="21">I80*K80</f>
        <v>0</v>
      </c>
    </row>
    <row r="81" spans="1:13">
      <c r="A81" s="53">
        <v>60</v>
      </c>
      <c r="B81" s="116"/>
      <c r="C81" s="135" t="s">
        <v>1344</v>
      </c>
      <c r="D81" s="399" t="s">
        <v>1342</v>
      </c>
      <c r="E81" s="663"/>
      <c r="F81" s="719"/>
      <c r="G81" s="119" t="s">
        <v>1345</v>
      </c>
      <c r="H81" s="120"/>
      <c r="I81" s="121">
        <v>5</v>
      </c>
      <c r="J81" s="91">
        <f t="shared" si="17"/>
        <v>0</v>
      </c>
      <c r="K81" s="678"/>
      <c r="L81" s="159"/>
      <c r="M81" s="123">
        <f t="shared" si="21"/>
        <v>0</v>
      </c>
    </row>
    <row r="82" spans="1:13">
      <c r="B82" s="112"/>
      <c r="C82" s="134" t="s">
        <v>1346</v>
      </c>
      <c r="D82" s="126"/>
      <c r="E82" s="664"/>
      <c r="F82" s="726"/>
      <c r="G82" s="79" t="s">
        <v>167</v>
      </c>
      <c r="H82" s="80"/>
      <c r="I82" s="81"/>
      <c r="J82" s="91">
        <f t="shared" si="17"/>
        <v>0</v>
      </c>
      <c r="K82" s="679"/>
      <c r="L82" s="158"/>
      <c r="M82" s="115"/>
    </row>
    <row r="83" spans="1:13">
      <c r="A83" s="53">
        <v>61</v>
      </c>
      <c r="B83" s="76" t="s">
        <v>1347</v>
      </c>
      <c r="C83" s="131" t="s">
        <v>1348</v>
      </c>
      <c r="D83" s="321"/>
      <c r="E83" s="665"/>
      <c r="F83" s="718"/>
      <c r="G83" s="96" t="s">
        <v>230</v>
      </c>
      <c r="H83" s="97" t="s">
        <v>142</v>
      </c>
      <c r="I83" s="98">
        <v>10</v>
      </c>
      <c r="J83" s="91">
        <f t="shared" si="17"/>
        <v>0</v>
      </c>
      <c r="K83" s="674"/>
      <c r="L83" s="156">
        <f>K83/10</f>
        <v>0</v>
      </c>
      <c r="M83" s="100">
        <f>I83*K83</f>
        <v>0</v>
      </c>
    </row>
    <row r="84" spans="1:13">
      <c r="B84" s="116"/>
      <c r="C84" s="136"/>
      <c r="D84" s="400" t="s">
        <v>889</v>
      </c>
      <c r="E84" s="667"/>
      <c r="F84" s="719"/>
      <c r="G84" s="119" t="s">
        <v>1349</v>
      </c>
      <c r="H84" s="120"/>
      <c r="I84" s="121"/>
      <c r="J84" s="106">
        <f t="shared" si="17"/>
        <v>0</v>
      </c>
      <c r="K84" s="680"/>
      <c r="L84" s="301" t="s">
        <v>198</v>
      </c>
      <c r="M84" s="155"/>
    </row>
    <row r="85" spans="1:13">
      <c r="A85" s="53">
        <v>62</v>
      </c>
      <c r="B85" s="76" t="s">
        <v>1350</v>
      </c>
      <c r="C85" s="131" t="s">
        <v>1351</v>
      </c>
      <c r="D85" s="324"/>
      <c r="E85" s="660"/>
      <c r="F85" s="718"/>
      <c r="G85" s="96" t="s">
        <v>156</v>
      </c>
      <c r="H85" s="97" t="s">
        <v>142</v>
      </c>
      <c r="I85" s="98">
        <v>25</v>
      </c>
      <c r="J85" s="106">
        <f t="shared" si="17"/>
        <v>0</v>
      </c>
      <c r="K85" s="676"/>
      <c r="L85" s="169">
        <f>K85/30</f>
        <v>0</v>
      </c>
      <c r="M85" s="100">
        <f>I85*K85</f>
        <v>0</v>
      </c>
    </row>
    <row r="86" spans="1:13">
      <c r="B86" s="467"/>
      <c r="C86" s="468"/>
      <c r="D86" s="421" t="s">
        <v>304</v>
      </c>
      <c r="E86" s="652"/>
      <c r="F86" s="726"/>
      <c r="G86" s="469" t="s">
        <v>1352</v>
      </c>
      <c r="H86" s="470"/>
      <c r="I86" s="471"/>
      <c r="J86" s="114">
        <f t="shared" si="17"/>
        <v>0</v>
      </c>
      <c r="K86" s="673"/>
      <c r="L86" s="178" t="s">
        <v>198</v>
      </c>
      <c r="M86" s="293"/>
    </row>
    <row r="87" spans="1:13">
      <c r="B87" s="472" t="s">
        <v>1353</v>
      </c>
      <c r="C87" s="417" t="s">
        <v>1354</v>
      </c>
      <c r="D87" s="130"/>
      <c r="E87" s="669"/>
      <c r="F87" s="719"/>
      <c r="G87" s="473" t="s">
        <v>1355</v>
      </c>
      <c r="H87" s="474" t="s">
        <v>142</v>
      </c>
      <c r="I87" s="475">
        <f>SUM(I88:I93)</f>
        <v>1500</v>
      </c>
      <c r="J87" s="476">
        <f t="shared" si="17"/>
        <v>0</v>
      </c>
      <c r="K87" s="681"/>
      <c r="L87" s="200"/>
      <c r="M87" s="123"/>
    </row>
    <row r="88" spans="1:13">
      <c r="A88" s="53">
        <v>63</v>
      </c>
      <c r="B88" s="377"/>
      <c r="C88" s="477"/>
      <c r="D88" s="419" t="s">
        <v>1342</v>
      </c>
      <c r="E88" s="780"/>
      <c r="F88" s="768"/>
      <c r="G88" s="473" t="s">
        <v>1356</v>
      </c>
      <c r="H88" s="474" t="s">
        <v>142</v>
      </c>
      <c r="I88" s="475">
        <v>250</v>
      </c>
      <c r="J88" s="476">
        <f t="shared" si="17"/>
        <v>0</v>
      </c>
      <c r="K88" s="681"/>
      <c r="L88" s="200">
        <f t="shared" ref="L88:L94" si="22">K88/96</f>
        <v>0</v>
      </c>
      <c r="M88" s="123">
        <f t="shared" ref="M88:M93" si="23">I88*K88</f>
        <v>0</v>
      </c>
    </row>
    <row r="89" spans="1:13">
      <c r="A89" s="53">
        <v>64</v>
      </c>
      <c r="B89" s="377"/>
      <c r="C89" s="478" t="s">
        <v>1357</v>
      </c>
      <c r="D89" s="419" t="s">
        <v>1342</v>
      </c>
      <c r="E89" s="669"/>
      <c r="F89" s="719"/>
      <c r="G89" s="418" t="s">
        <v>1358</v>
      </c>
      <c r="H89" s="474" t="s">
        <v>142</v>
      </c>
      <c r="I89" s="475">
        <v>250</v>
      </c>
      <c r="J89" s="476">
        <f t="shared" si="17"/>
        <v>0</v>
      </c>
      <c r="K89" s="681"/>
      <c r="L89" s="200">
        <f t="shared" si="22"/>
        <v>0</v>
      </c>
      <c r="M89" s="123">
        <f t="shared" si="23"/>
        <v>0</v>
      </c>
    </row>
    <row r="90" spans="1:13">
      <c r="A90" s="53">
        <v>65</v>
      </c>
      <c r="B90" s="377"/>
      <c r="C90" s="478" t="s">
        <v>1359</v>
      </c>
      <c r="D90" s="419" t="s">
        <v>1342</v>
      </c>
      <c r="E90" s="669"/>
      <c r="F90" s="719"/>
      <c r="G90" s="418" t="s">
        <v>1360</v>
      </c>
      <c r="H90" s="474" t="s">
        <v>142</v>
      </c>
      <c r="I90" s="475">
        <v>250</v>
      </c>
      <c r="J90" s="476">
        <f t="shared" si="17"/>
        <v>0</v>
      </c>
      <c r="K90" s="681"/>
      <c r="L90" s="200">
        <f t="shared" si="22"/>
        <v>0</v>
      </c>
      <c r="M90" s="123">
        <f t="shared" si="23"/>
        <v>0</v>
      </c>
    </row>
    <row r="91" spans="1:13">
      <c r="A91" s="53">
        <v>66</v>
      </c>
      <c r="B91" s="377"/>
      <c r="C91" s="479"/>
      <c r="D91" s="419" t="s">
        <v>1342</v>
      </c>
      <c r="E91" s="669"/>
      <c r="F91" s="719"/>
      <c r="G91" s="418" t="s">
        <v>1361</v>
      </c>
      <c r="H91" s="474" t="s">
        <v>142</v>
      </c>
      <c r="I91" s="475">
        <v>250</v>
      </c>
      <c r="J91" s="476">
        <f t="shared" si="17"/>
        <v>0</v>
      </c>
      <c r="K91" s="681"/>
      <c r="L91" s="200">
        <f t="shared" si="22"/>
        <v>0</v>
      </c>
      <c r="M91" s="123">
        <f t="shared" si="23"/>
        <v>0</v>
      </c>
    </row>
    <row r="92" spans="1:13">
      <c r="A92" s="53">
        <v>67</v>
      </c>
      <c r="B92" s="377"/>
      <c r="C92" s="479"/>
      <c r="D92" s="419" t="s">
        <v>1342</v>
      </c>
      <c r="E92" s="780"/>
      <c r="F92" s="719"/>
      <c r="G92" s="418" t="s">
        <v>1362</v>
      </c>
      <c r="H92" s="474" t="s">
        <v>142</v>
      </c>
      <c r="I92" s="475">
        <v>250</v>
      </c>
      <c r="J92" s="476">
        <f t="shared" si="17"/>
        <v>0</v>
      </c>
      <c r="K92" s="681"/>
      <c r="L92" s="200">
        <f t="shared" si="22"/>
        <v>0</v>
      </c>
      <c r="M92" s="123">
        <f t="shared" si="23"/>
        <v>0</v>
      </c>
    </row>
    <row r="93" spans="1:13">
      <c r="A93" s="53">
        <v>68</v>
      </c>
      <c r="B93" s="467"/>
      <c r="C93" s="480"/>
      <c r="D93" s="421" t="s">
        <v>1342</v>
      </c>
      <c r="E93" s="731"/>
      <c r="F93" s="726"/>
      <c r="G93" s="320" t="s">
        <v>1363</v>
      </c>
      <c r="H93" s="470" t="s">
        <v>142</v>
      </c>
      <c r="I93" s="471">
        <v>250</v>
      </c>
      <c r="J93" s="481">
        <f t="shared" si="17"/>
        <v>0</v>
      </c>
      <c r="K93" s="673"/>
      <c r="L93" s="178">
        <f t="shared" si="22"/>
        <v>0</v>
      </c>
      <c r="M93" s="115">
        <f t="shared" si="23"/>
        <v>0</v>
      </c>
    </row>
    <row r="94" spans="1:13">
      <c r="B94" s="76" t="s">
        <v>1364</v>
      </c>
      <c r="C94" s="132" t="s">
        <v>1365</v>
      </c>
      <c r="D94" s="130"/>
      <c r="E94" s="661"/>
      <c r="F94" s="719"/>
      <c r="G94" s="119" t="s">
        <v>1366</v>
      </c>
      <c r="H94" s="120" t="s">
        <v>142</v>
      </c>
      <c r="I94" s="121">
        <f>SUM(I95:I97)</f>
        <v>102</v>
      </c>
      <c r="J94" s="82">
        <f t="shared" si="17"/>
        <v>0</v>
      </c>
      <c r="K94" s="677"/>
      <c r="L94" s="328">
        <f t="shared" si="22"/>
        <v>0</v>
      </c>
      <c r="M94" s="123"/>
    </row>
    <row r="95" spans="1:13">
      <c r="A95" s="53">
        <v>69</v>
      </c>
      <c r="B95" s="116"/>
      <c r="C95" s="305" t="s">
        <v>1367</v>
      </c>
      <c r="D95" s="482" t="s">
        <v>1368</v>
      </c>
      <c r="E95" s="663"/>
      <c r="F95" s="719"/>
      <c r="G95" s="119" t="s">
        <v>1369</v>
      </c>
      <c r="H95" s="120" t="s">
        <v>142</v>
      </c>
      <c r="I95" s="121">
        <v>25</v>
      </c>
      <c r="J95" s="91">
        <f t="shared" si="17"/>
        <v>0</v>
      </c>
      <c r="K95" s="678"/>
      <c r="L95" s="159">
        <f t="shared" ref="L95:L96" si="24">K95/70</f>
        <v>0</v>
      </c>
      <c r="M95" s="123">
        <f t="shared" ref="M95:M96" si="25">I95*K95</f>
        <v>0</v>
      </c>
    </row>
    <row r="96" spans="1:13">
      <c r="A96" s="53">
        <v>70</v>
      </c>
      <c r="B96" s="116"/>
      <c r="C96" s="305" t="s">
        <v>1370</v>
      </c>
      <c r="D96" s="482" t="s">
        <v>1368</v>
      </c>
      <c r="E96" s="663"/>
      <c r="F96" s="719"/>
      <c r="G96" s="119" t="s">
        <v>1371</v>
      </c>
      <c r="H96" s="120" t="s">
        <v>142</v>
      </c>
      <c r="I96" s="121">
        <v>77</v>
      </c>
      <c r="J96" s="91">
        <f t="shared" si="17"/>
        <v>0</v>
      </c>
      <c r="K96" s="678"/>
      <c r="L96" s="159">
        <f t="shared" si="24"/>
        <v>0</v>
      </c>
      <c r="M96" s="123">
        <f t="shared" si="25"/>
        <v>0</v>
      </c>
    </row>
    <row r="97" spans="1:13">
      <c r="B97" s="116"/>
      <c r="C97" s="305" t="s">
        <v>1372</v>
      </c>
      <c r="D97" s="482"/>
      <c r="E97" s="663"/>
      <c r="F97" s="719"/>
      <c r="G97" s="119" t="s">
        <v>167</v>
      </c>
      <c r="H97" s="120"/>
      <c r="I97" s="121"/>
      <c r="J97" s="91">
        <f t="shared" si="17"/>
        <v>0</v>
      </c>
      <c r="K97" s="678"/>
      <c r="L97" s="159"/>
      <c r="M97" s="123"/>
    </row>
    <row r="98" spans="1:13">
      <c r="B98" s="112"/>
      <c r="C98" s="176" t="s">
        <v>1373</v>
      </c>
      <c r="D98" s="483"/>
      <c r="E98" s="664"/>
      <c r="F98" s="726"/>
      <c r="G98" s="119"/>
      <c r="H98" s="120"/>
      <c r="I98" s="121"/>
      <c r="J98" s="106">
        <f t="shared" si="17"/>
        <v>0</v>
      </c>
      <c r="K98" s="680"/>
      <c r="L98" s="301"/>
      <c r="M98" s="123"/>
    </row>
    <row r="99" spans="1:13">
      <c r="B99" s="484" t="s">
        <v>1374</v>
      </c>
      <c r="C99" s="132" t="s">
        <v>1375</v>
      </c>
      <c r="D99" s="302"/>
      <c r="E99" s="665"/>
      <c r="F99" s="781"/>
      <c r="G99" s="96" t="s">
        <v>1376</v>
      </c>
      <c r="H99" s="97" t="s">
        <v>142</v>
      </c>
      <c r="I99" s="98">
        <f>SUM(I100:I103)</f>
        <v>150</v>
      </c>
      <c r="J99" s="106">
        <f t="shared" si="17"/>
        <v>0</v>
      </c>
      <c r="K99" s="676"/>
      <c r="L99" s="169"/>
      <c r="M99" s="100"/>
    </row>
    <row r="100" spans="1:13">
      <c r="A100" s="53">
        <v>71</v>
      </c>
      <c r="B100" s="377"/>
      <c r="C100" s="305" t="s">
        <v>1377</v>
      </c>
      <c r="D100" s="399" t="s">
        <v>1378</v>
      </c>
      <c r="E100" s="663"/>
      <c r="F100" s="782"/>
      <c r="G100" s="119" t="s">
        <v>1379</v>
      </c>
      <c r="H100" s="120"/>
      <c r="I100" s="121">
        <v>40</v>
      </c>
      <c r="J100" s="140">
        <f t="shared" si="17"/>
        <v>0</v>
      </c>
      <c r="K100" s="681"/>
      <c r="L100" s="200">
        <f t="shared" ref="L100:L103" si="26">K100/96</f>
        <v>0</v>
      </c>
      <c r="M100" s="123">
        <f t="shared" ref="M100:M103" si="27">I100*K100</f>
        <v>0</v>
      </c>
    </row>
    <row r="101" spans="1:13">
      <c r="A101" s="53">
        <v>72</v>
      </c>
      <c r="B101" s="377"/>
      <c r="C101" s="305" t="s">
        <v>1380</v>
      </c>
      <c r="D101" s="399" t="s">
        <v>1378</v>
      </c>
      <c r="E101" s="663"/>
      <c r="F101" s="782"/>
      <c r="G101" s="119" t="s">
        <v>1381</v>
      </c>
      <c r="H101" s="120"/>
      <c r="I101" s="121">
        <v>50</v>
      </c>
      <c r="J101" s="140">
        <f t="shared" si="17"/>
        <v>0</v>
      </c>
      <c r="K101" s="681"/>
      <c r="L101" s="200">
        <f t="shared" si="26"/>
        <v>0</v>
      </c>
      <c r="M101" s="123">
        <f t="shared" si="27"/>
        <v>0</v>
      </c>
    </row>
    <row r="102" spans="1:13">
      <c r="A102" s="53">
        <v>73</v>
      </c>
      <c r="B102" s="377"/>
      <c r="C102" s="305"/>
      <c r="D102" s="399" t="s">
        <v>1378</v>
      </c>
      <c r="E102" s="663"/>
      <c r="F102" s="782"/>
      <c r="G102" s="119" t="s">
        <v>1382</v>
      </c>
      <c r="H102" s="120"/>
      <c r="I102" s="121">
        <v>20</v>
      </c>
      <c r="J102" s="140">
        <f t="shared" si="17"/>
        <v>0</v>
      </c>
      <c r="K102" s="681"/>
      <c r="L102" s="200">
        <f t="shared" si="26"/>
        <v>0</v>
      </c>
      <c r="M102" s="123">
        <f t="shared" si="27"/>
        <v>0</v>
      </c>
    </row>
    <row r="103" spans="1:13">
      <c r="A103" s="53">
        <v>74</v>
      </c>
      <c r="B103" s="467"/>
      <c r="C103" s="157"/>
      <c r="D103" s="401" t="s">
        <v>1378</v>
      </c>
      <c r="E103" s="664"/>
      <c r="F103" s="783"/>
      <c r="G103" s="79" t="s">
        <v>1383</v>
      </c>
      <c r="H103" s="80"/>
      <c r="I103" s="81">
        <v>40</v>
      </c>
      <c r="J103" s="114">
        <f t="shared" si="17"/>
        <v>0</v>
      </c>
      <c r="K103" s="673"/>
      <c r="L103" s="178">
        <f t="shared" si="26"/>
        <v>0</v>
      </c>
      <c r="M103" s="115">
        <f t="shared" si="27"/>
        <v>0</v>
      </c>
    </row>
    <row r="104" spans="1:13">
      <c r="B104" s="937" t="s">
        <v>1384</v>
      </c>
      <c r="C104" s="915"/>
      <c r="D104" s="915"/>
      <c r="E104" s="915"/>
      <c r="F104" s="915"/>
      <c r="G104" s="915"/>
      <c r="H104" s="915"/>
      <c r="I104" s="915"/>
      <c r="K104" s="952">
        <f>SUM(M3:M103)</f>
        <v>0</v>
      </c>
      <c r="L104" s="915"/>
      <c r="M104" s="916"/>
    </row>
  </sheetData>
  <sheetProtection algorithmName="SHA-512" hashValue="OTxNLCsYbFVawFvvKj3heegvWweEjQME6PPem+V03FcgzKA94XeJXZeIme7xhmQRliV8VNB1YX+i4IHLodPobQ==" saltValue="HREn0cJcwtybDDfvkxTKYA==" spinCount="100000" sheet="1" objects="1" scenarios="1" selectLockedCells="1"/>
  <mergeCells count="3">
    <mergeCell ref="B2:M2"/>
    <mergeCell ref="B104:I104"/>
    <mergeCell ref="K104:M104"/>
  </mergeCells>
  <pageMargins left="0.25" right="0.25" top="0.25" bottom="0.25" header="0.25" footer="0.25"/>
  <pageSetup scale="5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fitToPage="1"/>
  </sheetPr>
  <dimension ref="A1:M63"/>
  <sheetViews>
    <sheetView workbookViewId="0">
      <selection activeCell="K4" sqref="K4"/>
    </sheetView>
  </sheetViews>
  <sheetFormatPr defaultColWidth="14.42578125" defaultRowHeight="15" customHeight="1"/>
  <cols>
    <col min="1" max="1" width="3.5703125" customWidth="1"/>
    <col min="2" max="2" width="33.7109375" customWidth="1"/>
    <col min="3" max="3" width="64.85546875" customWidth="1"/>
    <col min="4" max="4" width="12.42578125" customWidth="1"/>
    <col min="5" max="5" width="12.85546875" customWidth="1"/>
    <col min="6" max="6" width="11.7109375" customWidth="1"/>
    <col min="7" max="7" width="35.5703125" customWidth="1"/>
    <col min="8" max="8" width="9.5703125" customWidth="1"/>
    <col min="9" max="9" width="9.42578125" customWidth="1"/>
    <col min="10" max="10" width="14.42578125" hidden="1"/>
    <col min="11" max="11" width="11" customWidth="1"/>
    <col min="12" max="12" width="11.28515625" customWidth="1"/>
    <col min="13" max="13" width="11.42578125" customWidth="1"/>
  </cols>
  <sheetData>
    <row r="1" spans="1:13">
      <c r="A1" s="60"/>
      <c r="B1" s="66" t="s">
        <v>93</v>
      </c>
      <c r="C1" s="67" t="s">
        <v>94</v>
      </c>
      <c r="D1" s="68" t="s">
        <v>95</v>
      </c>
      <c r="E1" s="69" t="s">
        <v>96</v>
      </c>
      <c r="F1" s="70" t="s">
        <v>97</v>
      </c>
      <c r="G1" s="71" t="s">
        <v>98</v>
      </c>
      <c r="H1" s="71" t="s">
        <v>99</v>
      </c>
      <c r="I1" s="72" t="s">
        <v>100</v>
      </c>
      <c r="J1" s="73" t="s">
        <v>101</v>
      </c>
      <c r="K1" s="74" t="s">
        <v>102</v>
      </c>
      <c r="L1" s="75" t="s">
        <v>103</v>
      </c>
      <c r="M1" s="71" t="s">
        <v>104</v>
      </c>
    </row>
    <row r="2" spans="1:13">
      <c r="A2" s="57"/>
      <c r="B2" s="951" t="s">
        <v>1385</v>
      </c>
      <c r="C2" s="921"/>
      <c r="D2" s="921"/>
      <c r="E2" s="921"/>
      <c r="F2" s="921"/>
      <c r="G2" s="921"/>
      <c r="H2" s="921"/>
      <c r="I2" s="921"/>
      <c r="J2" s="921"/>
      <c r="K2" s="921"/>
      <c r="L2" s="921"/>
      <c r="M2" s="922"/>
    </row>
    <row r="3" spans="1:13">
      <c r="A3" s="57">
        <v>1</v>
      </c>
      <c r="B3" s="76" t="s">
        <v>1386</v>
      </c>
      <c r="C3" s="132" t="s">
        <v>1387</v>
      </c>
      <c r="D3" s="485"/>
      <c r="E3" s="730"/>
      <c r="F3" s="727"/>
      <c r="G3" s="96" t="s">
        <v>230</v>
      </c>
      <c r="H3" s="97"/>
      <c r="I3" s="98"/>
      <c r="J3" s="106"/>
      <c r="K3" s="676"/>
      <c r="L3" s="169"/>
      <c r="M3" s="100"/>
    </row>
    <row r="4" spans="1:13">
      <c r="A4" s="57"/>
      <c r="B4" s="79"/>
      <c r="C4" s="79"/>
      <c r="D4" s="445" t="s">
        <v>604</v>
      </c>
      <c r="E4" s="731"/>
      <c r="F4" s="729"/>
      <c r="G4" s="79" t="s">
        <v>1388</v>
      </c>
      <c r="H4" s="80" t="s">
        <v>142</v>
      </c>
      <c r="I4" s="81">
        <v>5</v>
      </c>
      <c r="J4" s="114">
        <f t="shared" ref="J4:J39" si="0">(K4*8%)+K4</f>
        <v>0</v>
      </c>
      <c r="K4" s="673"/>
      <c r="L4" s="178">
        <f>K4/144</f>
        <v>0</v>
      </c>
      <c r="M4" s="115">
        <f t="shared" ref="M4:M5" si="1">I4*K4</f>
        <v>0</v>
      </c>
    </row>
    <row r="5" spans="1:13">
      <c r="A5" s="57">
        <v>2</v>
      </c>
      <c r="B5" s="116" t="s">
        <v>1389</v>
      </c>
      <c r="C5" s="486" t="s">
        <v>1390</v>
      </c>
      <c r="D5" s="421" t="s">
        <v>1391</v>
      </c>
      <c r="E5" s="652"/>
      <c r="F5" s="726"/>
      <c r="G5" s="214" t="s">
        <v>1392</v>
      </c>
      <c r="H5" s="80" t="s">
        <v>142</v>
      </c>
      <c r="I5" s="81">
        <v>20</v>
      </c>
      <c r="J5" s="82">
        <f t="shared" si="0"/>
        <v>0</v>
      </c>
      <c r="K5" s="673"/>
      <c r="L5" s="178">
        <f>K5/138</f>
        <v>0</v>
      </c>
      <c r="M5" s="115">
        <f t="shared" si="1"/>
        <v>0</v>
      </c>
    </row>
    <row r="6" spans="1:13">
      <c r="A6" s="53">
        <v>3</v>
      </c>
      <c r="B6" s="76" t="s">
        <v>1393</v>
      </c>
      <c r="C6" s="132" t="s">
        <v>1394</v>
      </c>
      <c r="D6" s="302"/>
      <c r="E6" s="665"/>
      <c r="F6" s="718"/>
      <c r="G6" s="96" t="s">
        <v>230</v>
      </c>
      <c r="H6" s="97" t="s">
        <v>142</v>
      </c>
      <c r="I6" s="98">
        <v>70</v>
      </c>
      <c r="J6" s="91">
        <f t="shared" si="0"/>
        <v>0</v>
      </c>
      <c r="K6" s="674"/>
      <c r="L6" s="156">
        <f>K6/144</f>
        <v>0</v>
      </c>
      <c r="M6" s="100">
        <f>K6*I6</f>
        <v>0</v>
      </c>
    </row>
    <row r="7" spans="1:13">
      <c r="B7" s="116"/>
      <c r="C7" s="117" t="s">
        <v>1395</v>
      </c>
      <c r="D7" s="399" t="s">
        <v>604</v>
      </c>
      <c r="E7" s="663"/>
      <c r="F7" s="719"/>
      <c r="G7" s="119" t="s">
        <v>1396</v>
      </c>
      <c r="H7" s="120"/>
      <c r="I7" s="121"/>
      <c r="J7" s="91">
        <f t="shared" si="0"/>
        <v>0</v>
      </c>
      <c r="K7" s="678"/>
      <c r="L7" s="159"/>
      <c r="M7" s="155"/>
    </row>
    <row r="8" spans="1:13">
      <c r="B8" s="116"/>
      <c r="C8" s="117" t="s">
        <v>1397</v>
      </c>
      <c r="D8" s="130"/>
      <c r="E8" s="663"/>
      <c r="F8" s="719"/>
      <c r="G8" s="119"/>
      <c r="H8" s="120"/>
      <c r="I8" s="121"/>
      <c r="J8" s="91">
        <f t="shared" si="0"/>
        <v>0</v>
      </c>
      <c r="K8" s="678"/>
      <c r="L8" s="159"/>
      <c r="M8" s="143"/>
    </row>
    <row r="9" spans="1:13">
      <c r="A9" s="53">
        <v>4</v>
      </c>
      <c r="B9" s="927" t="s">
        <v>1398</v>
      </c>
      <c r="C9" s="138" t="s">
        <v>1399</v>
      </c>
      <c r="D9" s="321" t="s">
        <v>604</v>
      </c>
      <c r="E9" s="665"/>
      <c r="F9" s="718"/>
      <c r="G9" s="96" t="s">
        <v>230</v>
      </c>
      <c r="H9" s="97"/>
      <c r="I9" s="98"/>
      <c r="J9" s="91">
        <f t="shared" si="0"/>
        <v>0</v>
      </c>
      <c r="K9" s="674"/>
      <c r="L9" s="156"/>
      <c r="M9" s="100"/>
    </row>
    <row r="10" spans="1:13">
      <c r="B10" s="928"/>
      <c r="C10" s="113"/>
      <c r="D10" s="334"/>
      <c r="E10" s="776"/>
      <c r="F10" s="726"/>
      <c r="G10" s="466" t="s">
        <v>1400</v>
      </c>
      <c r="H10" s="80" t="s">
        <v>142</v>
      </c>
      <c r="I10" s="81">
        <v>20</v>
      </c>
      <c r="J10" s="91">
        <f t="shared" si="0"/>
        <v>0</v>
      </c>
      <c r="K10" s="679"/>
      <c r="L10" s="158">
        <f>K10/144</f>
        <v>0</v>
      </c>
      <c r="M10" s="115">
        <f>I10*K10</f>
        <v>0</v>
      </c>
    </row>
    <row r="11" spans="1:13">
      <c r="A11" s="53">
        <v>5</v>
      </c>
      <c r="B11" s="927" t="s">
        <v>1401</v>
      </c>
      <c r="C11" s="131" t="s">
        <v>1402</v>
      </c>
      <c r="D11" s="321"/>
      <c r="E11" s="665"/>
      <c r="F11" s="718"/>
      <c r="G11" s="96" t="s">
        <v>230</v>
      </c>
      <c r="H11" s="97"/>
      <c r="I11" s="98"/>
      <c r="J11" s="91">
        <f t="shared" si="0"/>
        <v>0</v>
      </c>
      <c r="K11" s="674"/>
      <c r="L11" s="156"/>
      <c r="M11" s="100"/>
    </row>
    <row r="12" spans="1:13">
      <c r="B12" s="928"/>
      <c r="C12" s="157"/>
      <c r="D12" s="460" t="s">
        <v>604</v>
      </c>
      <c r="E12" s="776"/>
      <c r="F12" s="726"/>
      <c r="G12" s="466" t="s">
        <v>1400</v>
      </c>
      <c r="H12" s="80" t="s">
        <v>142</v>
      </c>
      <c r="I12" s="81">
        <v>35</v>
      </c>
      <c r="J12" s="91">
        <f t="shared" si="0"/>
        <v>0</v>
      </c>
      <c r="K12" s="679"/>
      <c r="L12" s="158">
        <f t="shared" ref="L12:L13" si="2">K12/144</f>
        <v>0</v>
      </c>
      <c r="M12" s="115">
        <f>K12*I12</f>
        <v>0</v>
      </c>
    </row>
    <row r="13" spans="1:13">
      <c r="A13" s="53">
        <v>6</v>
      </c>
      <c r="B13" s="76" t="s">
        <v>1403</v>
      </c>
      <c r="C13" s="138" t="s">
        <v>1404</v>
      </c>
      <c r="D13" s="448" t="s">
        <v>604</v>
      </c>
      <c r="E13" s="656"/>
      <c r="F13" s="718"/>
      <c r="G13" s="88" t="s">
        <v>1405</v>
      </c>
      <c r="H13" s="97" t="s">
        <v>142</v>
      </c>
      <c r="I13" s="98">
        <v>20</v>
      </c>
      <c r="J13" s="91">
        <f t="shared" si="0"/>
        <v>0</v>
      </c>
      <c r="K13" s="674"/>
      <c r="L13" s="156">
        <f t="shared" si="2"/>
        <v>0</v>
      </c>
      <c r="M13" s="133">
        <f t="shared" ref="M13:M16" si="3">I13*K13</f>
        <v>0</v>
      </c>
    </row>
    <row r="14" spans="1:13">
      <c r="A14" s="53">
        <v>7</v>
      </c>
      <c r="B14" s="76" t="s">
        <v>1406</v>
      </c>
      <c r="C14" s="138" t="s">
        <v>1407</v>
      </c>
      <c r="D14" s="321" t="s">
        <v>1408</v>
      </c>
      <c r="E14" s="665"/>
      <c r="F14" s="718"/>
      <c r="G14" s="96" t="s">
        <v>1409</v>
      </c>
      <c r="H14" s="97" t="s">
        <v>142</v>
      </c>
      <c r="I14" s="98">
        <v>5</v>
      </c>
      <c r="J14" s="91">
        <f t="shared" si="0"/>
        <v>0</v>
      </c>
      <c r="K14" s="674"/>
      <c r="L14" s="156">
        <f>K14/316</f>
        <v>0</v>
      </c>
      <c r="M14" s="133">
        <f t="shared" si="3"/>
        <v>0</v>
      </c>
    </row>
    <row r="15" spans="1:13">
      <c r="A15" s="53">
        <v>8</v>
      </c>
      <c r="B15" s="85" t="s">
        <v>1410</v>
      </c>
      <c r="C15" s="395" t="s">
        <v>1411</v>
      </c>
      <c r="D15" s="324" t="s">
        <v>1412</v>
      </c>
      <c r="E15" s="654"/>
      <c r="F15" s="759"/>
      <c r="G15" s="88" t="s">
        <v>1413</v>
      </c>
      <c r="H15" s="89" t="s">
        <v>1228</v>
      </c>
      <c r="I15" s="487">
        <v>38</v>
      </c>
      <c r="J15" s="91">
        <f t="shared" si="0"/>
        <v>0</v>
      </c>
      <c r="K15" s="672"/>
      <c r="L15" s="161"/>
      <c r="M15" s="93">
        <f t="shared" si="3"/>
        <v>0</v>
      </c>
    </row>
    <row r="16" spans="1:13">
      <c r="A16" s="53">
        <v>9</v>
      </c>
      <c r="B16" s="116" t="s">
        <v>1414</v>
      </c>
      <c r="C16" s="442" t="s">
        <v>1415</v>
      </c>
      <c r="D16" s="324" t="s">
        <v>1416</v>
      </c>
      <c r="E16" s="686"/>
      <c r="F16" s="719"/>
      <c r="G16" s="199" t="s">
        <v>1417</v>
      </c>
      <c r="H16" s="120" t="s">
        <v>142</v>
      </c>
      <c r="I16" s="121">
        <v>45</v>
      </c>
      <c r="J16" s="91">
        <f t="shared" si="0"/>
        <v>0</v>
      </c>
      <c r="K16" s="678"/>
      <c r="L16" s="159">
        <f>K16/360</f>
        <v>0</v>
      </c>
      <c r="M16" s="123">
        <f t="shared" si="3"/>
        <v>0</v>
      </c>
    </row>
    <row r="17" spans="1:13">
      <c r="B17" s="112"/>
      <c r="C17" s="341" t="s">
        <v>1418</v>
      </c>
      <c r="D17" s="126"/>
      <c r="E17" s="700"/>
      <c r="F17" s="719"/>
      <c r="G17" s="79" t="s">
        <v>167</v>
      </c>
      <c r="H17" s="80"/>
      <c r="I17" s="81"/>
      <c r="J17" s="91">
        <f t="shared" si="0"/>
        <v>0</v>
      </c>
      <c r="K17" s="679"/>
      <c r="L17" s="158"/>
      <c r="M17" s="293"/>
    </row>
    <row r="18" spans="1:13">
      <c r="A18" s="53">
        <v>10</v>
      </c>
      <c r="B18" s="76" t="s">
        <v>1419</v>
      </c>
      <c r="C18" s="131" t="s">
        <v>1420</v>
      </c>
      <c r="D18" s="321" t="s">
        <v>1421</v>
      </c>
      <c r="E18" s="665"/>
      <c r="F18" s="718"/>
      <c r="G18" s="96" t="s">
        <v>1422</v>
      </c>
      <c r="H18" s="97" t="s">
        <v>142</v>
      </c>
      <c r="I18" s="98">
        <v>15</v>
      </c>
      <c r="J18" s="91">
        <f t="shared" si="0"/>
        <v>0</v>
      </c>
      <c r="K18" s="674"/>
      <c r="L18" s="99">
        <f>K18/234</f>
        <v>0</v>
      </c>
      <c r="M18" s="100">
        <f>I18*K18</f>
        <v>0</v>
      </c>
    </row>
    <row r="19" spans="1:13">
      <c r="B19" s="116"/>
      <c r="C19" s="135" t="s">
        <v>1423</v>
      </c>
      <c r="D19" s="130"/>
      <c r="E19" s="663"/>
      <c r="F19" s="719"/>
      <c r="G19" s="119" t="s">
        <v>167</v>
      </c>
      <c r="H19" s="120"/>
      <c r="I19" s="121"/>
      <c r="J19" s="91">
        <f t="shared" si="0"/>
        <v>0</v>
      </c>
      <c r="K19" s="678"/>
      <c r="L19" s="159"/>
      <c r="M19" s="155"/>
    </row>
    <row r="20" spans="1:13">
      <c r="B20" s="112"/>
      <c r="C20" s="134" t="s">
        <v>1424</v>
      </c>
      <c r="D20" s="126"/>
      <c r="E20" s="664"/>
      <c r="F20" s="726"/>
      <c r="G20" s="79"/>
      <c r="H20" s="80"/>
      <c r="I20" s="81"/>
      <c r="J20" s="91">
        <f t="shared" si="0"/>
        <v>0</v>
      </c>
      <c r="K20" s="679"/>
      <c r="L20" s="158"/>
      <c r="M20" s="293"/>
    </row>
    <row r="21" spans="1:13">
      <c r="A21" s="53">
        <v>11</v>
      </c>
      <c r="B21" s="76" t="s">
        <v>1425</v>
      </c>
      <c r="C21" s="488" t="s">
        <v>1426</v>
      </c>
      <c r="D21" s="109" t="s">
        <v>1427</v>
      </c>
      <c r="E21" s="665"/>
      <c r="F21" s="718"/>
      <c r="G21" s="96" t="s">
        <v>1428</v>
      </c>
      <c r="H21" s="97" t="s">
        <v>142</v>
      </c>
      <c r="I21" s="98">
        <v>11</v>
      </c>
      <c r="J21" s="91">
        <f t="shared" si="0"/>
        <v>0</v>
      </c>
      <c r="K21" s="674"/>
      <c r="L21" s="156">
        <f>K21/24</f>
        <v>0</v>
      </c>
      <c r="M21" s="133">
        <f>I21*K21</f>
        <v>0</v>
      </c>
    </row>
    <row r="22" spans="1:13">
      <c r="B22" s="112"/>
      <c r="C22" s="113"/>
      <c r="D22" s="126"/>
      <c r="E22" s="664"/>
      <c r="F22" s="726"/>
      <c r="G22" s="79"/>
      <c r="H22" s="80"/>
      <c r="I22" s="81"/>
      <c r="J22" s="91">
        <f t="shared" si="0"/>
        <v>0</v>
      </c>
      <c r="K22" s="679"/>
      <c r="L22" s="158" t="s">
        <v>198</v>
      </c>
      <c r="M22" s="293"/>
    </row>
    <row r="23" spans="1:13">
      <c r="A23" s="53">
        <v>12</v>
      </c>
      <c r="B23" s="76" t="s">
        <v>1425</v>
      </c>
      <c r="C23" s="132" t="s">
        <v>1429</v>
      </c>
      <c r="D23" s="109" t="s">
        <v>637</v>
      </c>
      <c r="E23" s="665"/>
      <c r="F23" s="718"/>
      <c r="G23" s="96" t="s">
        <v>1430</v>
      </c>
      <c r="H23" s="97" t="s">
        <v>142</v>
      </c>
      <c r="I23" s="98">
        <v>20</v>
      </c>
      <c r="J23" s="91">
        <f t="shared" si="0"/>
        <v>0</v>
      </c>
      <c r="K23" s="674"/>
      <c r="L23" s="156">
        <f>K23/24</f>
        <v>0</v>
      </c>
      <c r="M23" s="133">
        <f>I23*K23</f>
        <v>0</v>
      </c>
    </row>
    <row r="24" spans="1:13">
      <c r="B24" s="112"/>
      <c r="C24" s="157"/>
      <c r="D24" s="126"/>
      <c r="E24" s="664"/>
      <c r="F24" s="726"/>
      <c r="G24" s="79" t="s">
        <v>167</v>
      </c>
      <c r="H24" s="80"/>
      <c r="I24" s="81"/>
      <c r="J24" s="91">
        <f t="shared" si="0"/>
        <v>0</v>
      </c>
      <c r="K24" s="679"/>
      <c r="L24" s="158" t="s">
        <v>198</v>
      </c>
      <c r="M24" s="293"/>
    </row>
    <row r="25" spans="1:13">
      <c r="A25" s="53">
        <v>13</v>
      </c>
      <c r="B25" s="76" t="s">
        <v>1425</v>
      </c>
      <c r="C25" s="132" t="s">
        <v>1431</v>
      </c>
      <c r="D25" s="109" t="s">
        <v>1432</v>
      </c>
      <c r="E25" s="665"/>
      <c r="F25" s="718"/>
      <c r="G25" s="96" t="s">
        <v>1433</v>
      </c>
      <c r="H25" s="97" t="s">
        <v>142</v>
      </c>
      <c r="I25" s="98">
        <v>6</v>
      </c>
      <c r="J25" s="91">
        <f t="shared" si="0"/>
        <v>0</v>
      </c>
      <c r="K25" s="674"/>
      <c r="L25" s="156">
        <f>K25/24</f>
        <v>0</v>
      </c>
      <c r="M25" s="133">
        <f>I25*K25</f>
        <v>0</v>
      </c>
    </row>
    <row r="26" spans="1:13">
      <c r="B26" s="112"/>
      <c r="C26" s="157"/>
      <c r="D26" s="126"/>
      <c r="E26" s="664"/>
      <c r="F26" s="726"/>
      <c r="G26" s="79" t="s">
        <v>167</v>
      </c>
      <c r="H26" s="80"/>
      <c r="I26" s="81"/>
      <c r="J26" s="91">
        <f t="shared" si="0"/>
        <v>0</v>
      </c>
      <c r="K26" s="679"/>
      <c r="L26" s="158" t="s">
        <v>198</v>
      </c>
      <c r="M26" s="293"/>
    </row>
    <row r="27" spans="1:13">
      <c r="A27" s="53">
        <v>14</v>
      </c>
      <c r="B27" s="76" t="s">
        <v>1434</v>
      </c>
      <c r="C27" s="138" t="s">
        <v>1435</v>
      </c>
      <c r="D27" s="109" t="s">
        <v>1436</v>
      </c>
      <c r="E27" s="654"/>
      <c r="F27" s="718"/>
      <c r="G27" s="96" t="s">
        <v>1437</v>
      </c>
      <c r="H27" s="97" t="s">
        <v>142</v>
      </c>
      <c r="I27" s="98">
        <v>20</v>
      </c>
      <c r="J27" s="91">
        <f t="shared" si="0"/>
        <v>0</v>
      </c>
      <c r="K27" s="674"/>
      <c r="L27" s="156">
        <f t="shared" ref="L27:L28" si="4">K27/20</f>
        <v>0</v>
      </c>
      <c r="M27" s="100">
        <f t="shared" ref="M27:M28" si="5">I27*K27</f>
        <v>0</v>
      </c>
    </row>
    <row r="28" spans="1:13">
      <c r="A28" s="53">
        <v>15</v>
      </c>
      <c r="B28" s="76" t="s">
        <v>1438</v>
      </c>
      <c r="C28" s="132" t="s">
        <v>1439</v>
      </c>
      <c r="D28" s="109"/>
      <c r="E28" s="665"/>
      <c r="F28" s="718"/>
      <c r="G28" s="96" t="s">
        <v>230</v>
      </c>
      <c r="H28" s="97" t="s">
        <v>142</v>
      </c>
      <c r="I28" s="98">
        <v>6</v>
      </c>
      <c r="J28" s="91">
        <f t="shared" si="0"/>
        <v>0</v>
      </c>
      <c r="K28" s="674"/>
      <c r="L28" s="156">
        <f t="shared" si="4"/>
        <v>0</v>
      </c>
      <c r="M28" s="100">
        <f t="shared" si="5"/>
        <v>0</v>
      </c>
    </row>
    <row r="29" spans="1:13">
      <c r="B29" s="112"/>
      <c r="C29" s="157"/>
      <c r="D29" s="78" t="s">
        <v>304</v>
      </c>
      <c r="E29" s="664"/>
      <c r="F29" s="726"/>
      <c r="G29" s="79" t="s">
        <v>1440</v>
      </c>
      <c r="H29" s="80"/>
      <c r="I29" s="81"/>
      <c r="J29" s="91">
        <f t="shared" si="0"/>
        <v>0</v>
      </c>
      <c r="K29" s="679"/>
      <c r="L29" s="158" t="s">
        <v>198</v>
      </c>
      <c r="M29" s="293"/>
    </row>
    <row r="30" spans="1:13">
      <c r="A30" s="53">
        <v>16</v>
      </c>
      <c r="B30" s="927" t="s">
        <v>1441</v>
      </c>
      <c r="C30" s="132" t="s">
        <v>1442</v>
      </c>
      <c r="D30" s="302"/>
      <c r="E30" s="665"/>
      <c r="F30" s="718"/>
      <c r="G30" s="96" t="s">
        <v>1443</v>
      </c>
      <c r="H30" s="97" t="s">
        <v>142</v>
      </c>
      <c r="I30" s="98">
        <v>30</v>
      </c>
      <c r="J30" s="91">
        <f t="shared" si="0"/>
        <v>0</v>
      </c>
      <c r="K30" s="674"/>
      <c r="L30" s="156">
        <f>K30/30</f>
        <v>0</v>
      </c>
      <c r="M30" s="100">
        <f>(I30/20)*K30</f>
        <v>0</v>
      </c>
    </row>
    <row r="31" spans="1:13">
      <c r="B31" s="928"/>
      <c r="C31" s="157"/>
      <c r="D31" s="78" t="s">
        <v>304</v>
      </c>
      <c r="E31" s="664"/>
      <c r="F31" s="726"/>
      <c r="G31" s="236" t="s">
        <v>1444</v>
      </c>
      <c r="H31" s="80"/>
      <c r="I31" s="81"/>
      <c r="J31" s="91">
        <f t="shared" si="0"/>
        <v>0</v>
      </c>
      <c r="K31" s="679"/>
      <c r="L31" s="158"/>
      <c r="M31" s="115"/>
    </row>
    <row r="32" spans="1:13">
      <c r="A32" s="53">
        <v>17</v>
      </c>
      <c r="B32" s="76" t="s">
        <v>1445</v>
      </c>
      <c r="C32" s="94" t="s">
        <v>1446</v>
      </c>
      <c r="D32" s="109" t="s">
        <v>1447</v>
      </c>
      <c r="E32" s="665"/>
      <c r="F32" s="718"/>
      <c r="G32" s="96" t="s">
        <v>1448</v>
      </c>
      <c r="H32" s="97" t="s">
        <v>142</v>
      </c>
      <c r="I32" s="98">
        <v>40</v>
      </c>
      <c r="J32" s="91">
        <f t="shared" si="0"/>
        <v>0</v>
      </c>
      <c r="K32" s="674"/>
      <c r="L32" s="156">
        <f>K32/30</f>
        <v>0</v>
      </c>
      <c r="M32" s="100">
        <f>(I32/30)*K32</f>
        <v>0</v>
      </c>
    </row>
    <row r="33" spans="1:13">
      <c r="A33" s="53">
        <v>18</v>
      </c>
      <c r="B33" s="953" t="s">
        <v>1449</v>
      </c>
      <c r="C33" s="489" t="s">
        <v>1450</v>
      </c>
      <c r="D33" s="490" t="s">
        <v>1451</v>
      </c>
      <c r="E33" s="790"/>
      <c r="F33" s="724"/>
      <c r="G33" s="491" t="s">
        <v>1452</v>
      </c>
      <c r="H33" s="315" t="s">
        <v>142</v>
      </c>
      <c r="I33" s="316">
        <v>10</v>
      </c>
      <c r="J33" s="91">
        <f t="shared" si="0"/>
        <v>0</v>
      </c>
      <c r="K33" s="794"/>
      <c r="L33" s="492">
        <f>K33/15</f>
        <v>0</v>
      </c>
      <c r="M33" s="493">
        <f>I33*K33</f>
        <v>0</v>
      </c>
    </row>
    <row r="34" spans="1:13">
      <c r="B34" s="954"/>
      <c r="C34" s="494"/>
      <c r="D34" s="495"/>
      <c r="E34" s="791"/>
      <c r="F34" s="792"/>
      <c r="G34" s="496"/>
      <c r="H34" s="497"/>
      <c r="I34" s="498"/>
      <c r="J34" s="91">
        <f t="shared" si="0"/>
        <v>0</v>
      </c>
      <c r="K34" s="795"/>
      <c r="L34" s="499"/>
      <c r="M34" s="500"/>
    </row>
    <row r="35" spans="1:13">
      <c r="A35" s="53">
        <v>19</v>
      </c>
      <c r="B35" s="116" t="s">
        <v>1453</v>
      </c>
      <c r="C35" s="135" t="s">
        <v>1454</v>
      </c>
      <c r="D35" s="130"/>
      <c r="E35" s="663"/>
      <c r="F35" s="719"/>
      <c r="G35" s="119" t="s">
        <v>230</v>
      </c>
      <c r="H35" s="120" t="s">
        <v>142</v>
      </c>
      <c r="I35" s="121">
        <v>4</v>
      </c>
      <c r="J35" s="91">
        <f t="shared" si="0"/>
        <v>0</v>
      </c>
      <c r="K35" s="678"/>
      <c r="L35" s="159">
        <f>K35/20</f>
        <v>0</v>
      </c>
      <c r="M35" s="123">
        <f>I35*K35</f>
        <v>0</v>
      </c>
    </row>
    <row r="36" spans="1:13">
      <c r="B36" s="112"/>
      <c r="C36" s="157"/>
      <c r="D36" s="78" t="s">
        <v>1455</v>
      </c>
      <c r="E36" s="664"/>
      <c r="F36" s="726"/>
      <c r="G36" s="236" t="s">
        <v>1456</v>
      </c>
      <c r="H36" s="80"/>
      <c r="I36" s="81"/>
      <c r="J36" s="91">
        <f t="shared" si="0"/>
        <v>0</v>
      </c>
      <c r="K36" s="679"/>
      <c r="L36" s="158" t="s">
        <v>198</v>
      </c>
      <c r="M36" s="293"/>
    </row>
    <row r="37" spans="1:13">
      <c r="A37" s="53">
        <v>20</v>
      </c>
      <c r="B37" s="76" t="s">
        <v>1457</v>
      </c>
      <c r="C37" s="131" t="s">
        <v>1458</v>
      </c>
      <c r="D37" s="109" t="s">
        <v>1455</v>
      </c>
      <c r="E37" s="665"/>
      <c r="F37" s="718"/>
      <c r="G37" s="96" t="s">
        <v>230</v>
      </c>
      <c r="H37" s="97" t="s">
        <v>142</v>
      </c>
      <c r="I37" s="98">
        <v>15</v>
      </c>
      <c r="J37" s="91">
        <f t="shared" si="0"/>
        <v>0</v>
      </c>
      <c r="K37" s="674"/>
      <c r="L37" s="156">
        <f>K37/20</f>
        <v>0</v>
      </c>
      <c r="M37" s="100">
        <f>I37*K37</f>
        <v>0</v>
      </c>
    </row>
    <row r="38" spans="1:13">
      <c r="B38" s="112"/>
      <c r="C38" s="157"/>
      <c r="D38" s="126"/>
      <c r="E38" s="664"/>
      <c r="F38" s="726"/>
      <c r="G38" s="236"/>
      <c r="H38" s="80"/>
      <c r="I38" s="81"/>
      <c r="J38" s="91">
        <f t="shared" si="0"/>
        <v>0</v>
      </c>
      <c r="K38" s="679"/>
      <c r="L38" s="158" t="s">
        <v>198</v>
      </c>
      <c r="M38" s="293"/>
    </row>
    <row r="39" spans="1:13">
      <c r="A39" s="53">
        <v>21</v>
      </c>
      <c r="B39" s="241" t="s">
        <v>1459</v>
      </c>
      <c r="C39" s="132" t="s">
        <v>1460</v>
      </c>
      <c r="D39" s="109" t="s">
        <v>1461</v>
      </c>
      <c r="E39" s="665"/>
      <c r="F39" s="718"/>
      <c r="G39" s="96" t="s">
        <v>1462</v>
      </c>
      <c r="H39" s="97" t="s">
        <v>142</v>
      </c>
      <c r="I39" s="98">
        <v>20</v>
      </c>
      <c r="J39" s="91">
        <f t="shared" si="0"/>
        <v>0</v>
      </c>
      <c r="K39" s="674"/>
      <c r="L39" s="156">
        <f>K39/144</f>
        <v>0</v>
      </c>
      <c r="M39" s="100">
        <f>(I39*L39)</f>
        <v>0</v>
      </c>
    </row>
    <row r="40" spans="1:13">
      <c r="B40" s="116"/>
      <c r="C40" s="305" t="s">
        <v>1463</v>
      </c>
      <c r="D40" s="130"/>
      <c r="E40" s="663"/>
      <c r="F40" s="719"/>
      <c r="G40" s="119" t="s">
        <v>167</v>
      </c>
      <c r="H40" s="120"/>
      <c r="I40" s="121"/>
      <c r="J40" s="91"/>
      <c r="K40" s="746"/>
      <c r="L40" s="300">
        <f>L39</f>
        <v>0</v>
      </c>
      <c r="M40" s="155"/>
    </row>
    <row r="41" spans="1:13">
      <c r="B41" s="116"/>
      <c r="C41" s="239" t="s">
        <v>1464</v>
      </c>
      <c r="D41" s="130"/>
      <c r="E41" s="667"/>
      <c r="F41" s="719"/>
      <c r="G41" s="119"/>
      <c r="H41" s="120"/>
      <c r="I41" s="121"/>
      <c r="J41" s="106">
        <f t="shared" ref="J41:J44" si="6">(K41*8%)+K41</f>
        <v>0</v>
      </c>
      <c r="K41" s="680"/>
      <c r="L41" s="301"/>
      <c r="M41" s="123"/>
    </row>
    <row r="42" spans="1:13">
      <c r="A42" s="53">
        <v>22</v>
      </c>
      <c r="B42" s="76" t="s">
        <v>1465</v>
      </c>
      <c r="C42" s="131" t="s">
        <v>1466</v>
      </c>
      <c r="D42" s="109" t="s">
        <v>1451</v>
      </c>
      <c r="E42" s="660"/>
      <c r="F42" s="718"/>
      <c r="G42" s="96" t="s">
        <v>1467</v>
      </c>
      <c r="H42" s="97" t="s">
        <v>142</v>
      </c>
      <c r="I42" s="98">
        <v>51</v>
      </c>
      <c r="J42" s="106">
        <f t="shared" si="6"/>
        <v>0</v>
      </c>
      <c r="K42" s="676"/>
      <c r="L42" s="169">
        <f t="shared" ref="L42:L43" si="7">K42/72.9</f>
        <v>0</v>
      </c>
      <c r="M42" s="100">
        <f>I42*K42</f>
        <v>0</v>
      </c>
    </row>
    <row r="43" spans="1:13">
      <c r="B43" s="116"/>
      <c r="C43" s="153" t="s">
        <v>1468</v>
      </c>
      <c r="D43" s="130"/>
      <c r="E43" s="669"/>
      <c r="F43" s="719"/>
      <c r="G43" s="119" t="s">
        <v>573</v>
      </c>
      <c r="H43" s="120"/>
      <c r="I43" s="121"/>
      <c r="J43" s="140">
        <f t="shared" si="6"/>
        <v>0</v>
      </c>
      <c r="K43" s="750"/>
      <c r="L43" s="171">
        <f t="shared" si="7"/>
        <v>0</v>
      </c>
      <c r="M43" s="501"/>
    </row>
    <row r="44" spans="1:13">
      <c r="B44" s="112"/>
      <c r="C44" s="134" t="s">
        <v>1469</v>
      </c>
      <c r="D44" s="126"/>
      <c r="E44" s="652"/>
      <c r="F44" s="726"/>
      <c r="G44" s="79"/>
      <c r="H44" s="80"/>
      <c r="I44" s="81"/>
      <c r="J44" s="114">
        <f t="shared" si="6"/>
        <v>0</v>
      </c>
      <c r="K44" s="673"/>
      <c r="L44" s="178"/>
      <c r="M44" s="293"/>
    </row>
    <row r="45" spans="1:13">
      <c r="A45" s="53">
        <v>23</v>
      </c>
      <c r="B45" s="116" t="s">
        <v>1470</v>
      </c>
      <c r="C45" s="153" t="s">
        <v>1471</v>
      </c>
      <c r="D45" s="118" t="s">
        <v>1451</v>
      </c>
      <c r="E45" s="661"/>
      <c r="F45" s="793"/>
      <c r="G45" s="119" t="s">
        <v>1472</v>
      </c>
      <c r="H45" s="120" t="s">
        <v>142</v>
      </c>
      <c r="I45" s="121">
        <v>20</v>
      </c>
      <c r="J45" s="82"/>
      <c r="K45" s="677"/>
      <c r="L45" s="328">
        <f>K45/71</f>
        <v>0</v>
      </c>
      <c r="M45" s="143">
        <f>K45*I45</f>
        <v>0</v>
      </c>
    </row>
    <row r="46" spans="1:13">
      <c r="B46" s="116"/>
      <c r="C46" s="129" t="s">
        <v>1473</v>
      </c>
      <c r="D46" s="126"/>
      <c r="E46" s="663"/>
      <c r="F46" s="761"/>
      <c r="G46" s="119"/>
      <c r="H46" s="120"/>
      <c r="I46" s="121"/>
      <c r="J46" s="91"/>
      <c r="K46" s="678"/>
      <c r="L46" s="159"/>
      <c r="M46" s="143"/>
    </row>
    <row r="47" spans="1:13">
      <c r="A47" s="53">
        <v>24</v>
      </c>
      <c r="B47" s="76" t="s">
        <v>1474</v>
      </c>
      <c r="C47" s="502" t="s">
        <v>1475</v>
      </c>
      <c r="D47" s="109" t="s">
        <v>1476</v>
      </c>
      <c r="E47" s="665"/>
      <c r="F47" s="760"/>
      <c r="G47" s="168" t="s">
        <v>1477</v>
      </c>
      <c r="H47" s="97"/>
      <c r="I47" s="228">
        <v>20</v>
      </c>
      <c r="J47" s="91"/>
      <c r="K47" s="674"/>
      <c r="L47" s="156">
        <f>K47/71</f>
        <v>0</v>
      </c>
      <c r="M47" s="133">
        <f>K47*I47</f>
        <v>0</v>
      </c>
    </row>
    <row r="48" spans="1:13">
      <c r="B48" s="305"/>
      <c r="C48" s="239" t="s">
        <v>1478</v>
      </c>
      <c r="D48" s="130"/>
      <c r="E48" s="663"/>
      <c r="F48" s="761"/>
      <c r="G48" s="503"/>
      <c r="H48" s="120"/>
      <c r="I48" s="121"/>
      <c r="J48" s="91"/>
      <c r="K48" s="678"/>
      <c r="L48" s="159"/>
      <c r="M48" s="143"/>
    </row>
    <row r="49" spans="1:13">
      <c r="A49" s="53">
        <v>25</v>
      </c>
      <c r="B49" s="76" t="s">
        <v>1479</v>
      </c>
      <c r="C49" s="138" t="s">
        <v>1480</v>
      </c>
      <c r="D49" s="198" t="s">
        <v>1481</v>
      </c>
      <c r="E49" s="665"/>
      <c r="F49" s="718"/>
      <c r="G49" s="96" t="s">
        <v>1482</v>
      </c>
      <c r="H49" s="97" t="s">
        <v>142</v>
      </c>
      <c r="I49" s="98">
        <v>5</v>
      </c>
      <c r="J49" s="91">
        <f t="shared" ref="J49:J51" si="8">(K49*8%)+K49</f>
        <v>0</v>
      </c>
      <c r="K49" s="674"/>
      <c r="L49" s="156">
        <f>K49/144</f>
        <v>0</v>
      </c>
      <c r="M49" s="133">
        <f>K49*I49</f>
        <v>0</v>
      </c>
    </row>
    <row r="50" spans="1:13">
      <c r="B50" s="116"/>
      <c r="C50" s="239" t="s">
        <v>1483</v>
      </c>
      <c r="D50" s="130"/>
      <c r="E50" s="667"/>
      <c r="F50" s="719"/>
      <c r="G50" s="119" t="s">
        <v>167</v>
      </c>
      <c r="H50" s="120"/>
      <c r="I50" s="121"/>
      <c r="J50" s="106">
        <f t="shared" si="8"/>
        <v>0</v>
      </c>
      <c r="K50" s="680"/>
      <c r="L50" s="301"/>
      <c r="M50" s="155"/>
    </row>
    <row r="51" spans="1:13">
      <c r="A51" s="53">
        <v>26</v>
      </c>
      <c r="B51" s="76" t="s">
        <v>1484</v>
      </c>
      <c r="C51" s="138" t="s">
        <v>1485</v>
      </c>
      <c r="D51" s="109" t="s">
        <v>1451</v>
      </c>
      <c r="E51" s="660"/>
      <c r="F51" s="718"/>
      <c r="G51" s="96" t="s">
        <v>1486</v>
      </c>
      <c r="H51" s="97" t="s">
        <v>142</v>
      </c>
      <c r="I51" s="98">
        <v>35</v>
      </c>
      <c r="J51" s="106">
        <f t="shared" si="8"/>
        <v>0</v>
      </c>
      <c r="K51" s="676"/>
      <c r="L51" s="169">
        <f t="shared" ref="L51:L52" si="9">K51/75</f>
        <v>0</v>
      </c>
      <c r="M51" s="100">
        <f>I51*K51</f>
        <v>0</v>
      </c>
    </row>
    <row r="52" spans="1:13">
      <c r="B52" s="116"/>
      <c r="C52" s="153" t="s">
        <v>1487</v>
      </c>
      <c r="D52" s="130"/>
      <c r="E52" s="669"/>
      <c r="F52" s="719"/>
      <c r="G52" s="119" t="s">
        <v>167</v>
      </c>
      <c r="H52" s="120"/>
      <c r="I52" s="121"/>
      <c r="J52" s="140"/>
      <c r="K52" s="750"/>
      <c r="L52" s="171">
        <f t="shared" si="9"/>
        <v>0</v>
      </c>
      <c r="M52" s="155"/>
    </row>
    <row r="53" spans="1:13">
      <c r="B53" s="112"/>
      <c r="C53" s="134" t="s">
        <v>1488</v>
      </c>
      <c r="D53" s="126"/>
      <c r="E53" s="652"/>
      <c r="F53" s="726"/>
      <c r="G53" s="79"/>
      <c r="H53" s="80"/>
      <c r="I53" s="81"/>
      <c r="J53" s="114">
        <f t="shared" ref="J53:J56" si="10">(K53*8%)+K53</f>
        <v>0</v>
      </c>
      <c r="K53" s="673"/>
      <c r="L53" s="178"/>
      <c r="M53" s="293"/>
    </row>
    <row r="54" spans="1:13">
      <c r="A54" s="53">
        <v>27</v>
      </c>
      <c r="B54" s="930" t="s">
        <v>1489</v>
      </c>
      <c r="C54" s="135" t="s">
        <v>1490</v>
      </c>
      <c r="D54" s="118" t="s">
        <v>400</v>
      </c>
      <c r="E54" s="661"/>
      <c r="F54" s="719"/>
      <c r="G54" s="119" t="s">
        <v>1491</v>
      </c>
      <c r="H54" s="120" t="s">
        <v>142</v>
      </c>
      <c r="I54" s="121">
        <v>15</v>
      </c>
      <c r="J54" s="82">
        <f t="shared" si="10"/>
        <v>0</v>
      </c>
      <c r="K54" s="677"/>
      <c r="L54" s="328">
        <f>K54/188.97</f>
        <v>0</v>
      </c>
      <c r="M54" s="123">
        <f>I54*K54</f>
        <v>0</v>
      </c>
    </row>
    <row r="55" spans="1:13">
      <c r="B55" s="928"/>
      <c r="C55" s="134" t="s">
        <v>1492</v>
      </c>
      <c r="D55" s="126"/>
      <c r="E55" s="664"/>
      <c r="F55" s="726"/>
      <c r="G55" s="79" t="s">
        <v>167</v>
      </c>
      <c r="H55" s="80"/>
      <c r="I55" s="81"/>
      <c r="J55" s="91">
        <f t="shared" si="10"/>
        <v>0</v>
      </c>
      <c r="K55" s="679"/>
      <c r="L55" s="158"/>
      <c r="M55" s="115"/>
    </row>
    <row r="56" spans="1:13">
      <c r="A56" s="53">
        <v>28</v>
      </c>
      <c r="B56" s="927" t="s">
        <v>1493</v>
      </c>
      <c r="C56" s="131" t="s">
        <v>1494</v>
      </c>
      <c r="D56" s="109" t="s">
        <v>637</v>
      </c>
      <c r="E56" s="660"/>
      <c r="F56" s="718"/>
      <c r="G56" s="96" t="s">
        <v>1495</v>
      </c>
      <c r="H56" s="97" t="s">
        <v>142</v>
      </c>
      <c r="I56" s="98">
        <v>40</v>
      </c>
      <c r="J56" s="106">
        <f t="shared" si="10"/>
        <v>0</v>
      </c>
      <c r="K56" s="676"/>
      <c r="L56" s="169">
        <f t="shared" ref="L56:L57" si="11">K56/176.95</f>
        <v>0</v>
      </c>
      <c r="M56" s="100">
        <f>I56*K56</f>
        <v>0</v>
      </c>
    </row>
    <row r="57" spans="1:13">
      <c r="B57" s="928"/>
      <c r="C57" s="390" t="s">
        <v>1496</v>
      </c>
      <c r="D57" s="130"/>
      <c r="E57" s="669"/>
      <c r="F57" s="719"/>
      <c r="G57" s="119" t="s">
        <v>167</v>
      </c>
      <c r="H57" s="120"/>
      <c r="I57" s="121"/>
      <c r="J57" s="140"/>
      <c r="K57" s="750"/>
      <c r="L57" s="171">
        <f t="shared" si="11"/>
        <v>0</v>
      </c>
      <c r="M57" s="123"/>
    </row>
    <row r="58" spans="1:13">
      <c r="A58" s="53">
        <v>29</v>
      </c>
      <c r="B58" s="76" t="s">
        <v>1497</v>
      </c>
      <c r="C58" s="132" t="s">
        <v>1498</v>
      </c>
      <c r="D58" s="109" t="s">
        <v>454</v>
      </c>
      <c r="E58" s="660"/>
      <c r="F58" s="718"/>
      <c r="G58" s="96" t="s">
        <v>1499</v>
      </c>
      <c r="H58" s="97" t="s">
        <v>142</v>
      </c>
      <c r="I58" s="98">
        <v>45</v>
      </c>
      <c r="J58" s="106">
        <f>(K58*8%)+K58</f>
        <v>0</v>
      </c>
      <c r="K58" s="676"/>
      <c r="L58" s="169">
        <f t="shared" ref="L58:L59" si="12">K58/106</f>
        <v>0</v>
      </c>
      <c r="M58" s="100">
        <f>I58*K58</f>
        <v>0</v>
      </c>
    </row>
    <row r="59" spans="1:13">
      <c r="B59" s="112"/>
      <c r="C59" s="134" t="s">
        <v>1500</v>
      </c>
      <c r="D59" s="126"/>
      <c r="E59" s="652"/>
      <c r="F59" s="726"/>
      <c r="G59" s="79" t="s">
        <v>573</v>
      </c>
      <c r="H59" s="80"/>
      <c r="I59" s="81"/>
      <c r="J59" s="114"/>
      <c r="K59" s="751"/>
      <c r="L59" s="212">
        <f t="shared" si="12"/>
        <v>0</v>
      </c>
      <c r="M59" s="293"/>
    </row>
    <row r="60" spans="1:13">
      <c r="A60" s="53">
        <v>30</v>
      </c>
      <c r="B60" s="116" t="s">
        <v>1501</v>
      </c>
      <c r="C60" s="135" t="s">
        <v>1502</v>
      </c>
      <c r="D60" s="118" t="s">
        <v>1503</v>
      </c>
      <c r="E60" s="661"/>
      <c r="F60" s="719"/>
      <c r="G60" s="119" t="s">
        <v>1504</v>
      </c>
      <c r="H60" s="120" t="s">
        <v>142</v>
      </c>
      <c r="I60" s="121">
        <v>24</v>
      </c>
      <c r="J60" s="82">
        <f t="shared" ref="J60:J62" si="13">(K60*8%)+K60</f>
        <v>0</v>
      </c>
      <c r="K60" s="677"/>
      <c r="L60" s="328">
        <f>K60/60.9</f>
        <v>0</v>
      </c>
      <c r="M60" s="123">
        <f>I60*K60</f>
        <v>0</v>
      </c>
    </row>
    <row r="61" spans="1:13">
      <c r="B61" s="116"/>
      <c r="C61" s="135" t="s">
        <v>1505</v>
      </c>
      <c r="D61" s="130"/>
      <c r="E61" s="663"/>
      <c r="F61" s="719"/>
      <c r="G61" s="119" t="s">
        <v>167</v>
      </c>
      <c r="H61" s="120"/>
      <c r="I61" s="121"/>
      <c r="J61" s="91">
        <f t="shared" si="13"/>
        <v>0</v>
      </c>
      <c r="K61" s="678"/>
      <c r="L61" s="159"/>
      <c r="M61" s="155"/>
    </row>
    <row r="62" spans="1:13">
      <c r="B62" s="112"/>
      <c r="C62" s="134" t="s">
        <v>1506</v>
      </c>
      <c r="D62" s="126"/>
      <c r="E62" s="664"/>
      <c r="F62" s="726"/>
      <c r="G62" s="79"/>
      <c r="H62" s="80"/>
      <c r="I62" s="81"/>
      <c r="J62" s="106">
        <f t="shared" si="13"/>
        <v>0</v>
      </c>
      <c r="K62" s="679"/>
      <c r="L62" s="158"/>
      <c r="M62" s="293"/>
    </row>
    <row r="63" spans="1:13">
      <c r="B63" s="937" t="s">
        <v>1507</v>
      </c>
      <c r="C63" s="915"/>
      <c r="D63" s="915"/>
      <c r="E63" s="915"/>
      <c r="F63" s="915"/>
      <c r="G63" s="915"/>
      <c r="H63" s="915"/>
      <c r="I63" s="915"/>
      <c r="J63" s="64"/>
      <c r="K63" s="952">
        <f>SUM(M3:M62)</f>
        <v>0</v>
      </c>
      <c r="L63" s="915"/>
      <c r="M63" s="916"/>
    </row>
  </sheetData>
  <sheetProtection algorithmName="SHA-512" hashValue="/AIsD/feVcquTE1TXTfUgG9uEgYigl49amlNTozHI9Q8/PuQnz0HY9KmZc8E5/RXp6fB194dn/is4B1Pv9QzUw==" saltValue="gr+haetVG3LEEqh0AS1cQQ==" spinCount="100000" sheet="1" objects="1" scenarios="1" selectLockedCells="1"/>
  <mergeCells count="9">
    <mergeCell ref="B63:I63"/>
    <mergeCell ref="K63:M63"/>
    <mergeCell ref="B2:M2"/>
    <mergeCell ref="B9:B10"/>
    <mergeCell ref="B11:B12"/>
    <mergeCell ref="B30:B31"/>
    <mergeCell ref="B33:B34"/>
    <mergeCell ref="B54:B55"/>
    <mergeCell ref="B56:B57"/>
  </mergeCells>
  <pageMargins left="0.25" right="0.25" top="0.25" bottom="0.25" header="0.25" footer="0.25"/>
  <pageSetup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BID 21-22</vt:lpstr>
      <vt:lpstr>FRESH MILK </vt:lpstr>
      <vt:lpstr>FRESH FROZEN BREAD</vt:lpstr>
      <vt:lpstr>FRESH PRODUCESMALL FARM PRODUCE</vt:lpstr>
      <vt:lpstr>NOI</vt:lpstr>
      <vt:lpstr>MEAT-MEAT ALTERNATIVES</vt:lpstr>
      <vt:lpstr>GRAIN-BREAD</vt:lpstr>
      <vt:lpstr>FRUIT DRY-FROZEN</vt:lpstr>
      <vt:lpstr>VEGETABLE DRY-FROZEN</vt:lpstr>
      <vt:lpstr>SUNDRY</vt:lpstr>
      <vt:lpstr>DAIRY-DAIRY ALT</vt:lpstr>
      <vt:lpstr>SPICES</vt:lpstr>
      <vt:lpstr>PAPER-CHEMICAL SUPPLIES</vt:lpstr>
      <vt:lpstr>Sheet1</vt:lpstr>
      <vt:lpstr>'FRESH PRODUCESMALL FARM PRODUCE'!Print_Area</vt:lpstr>
      <vt:lpstr>'BID 21-22'!Z_0C3C3871_9587_4907_8647_6ABAD5CAAEFD_.wvu.PrintArea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Leta A. Lute</dc:creator>
  <cp:lastModifiedBy>Leta A. Lute</cp:lastModifiedBy>
  <cp:lastPrinted>2022-06-01T17:31:20Z</cp:lastPrinted>
  <dcterms:created xsi:type="dcterms:W3CDTF">2022-06-01T15:26:47Z</dcterms:created>
  <dcterms:modified xsi:type="dcterms:W3CDTF">2022-06-01T17:32:21Z</dcterms:modified>
</cp:coreProperties>
</file>